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'загал'!$A$1:$I$99</definedName>
  </definedNames>
  <calcPr fullCalcOnLoad="1"/>
</workbook>
</file>

<file path=xl/sharedStrings.xml><?xml version="1.0" encoding="utf-8"?>
<sst xmlns="http://schemas.openxmlformats.org/spreadsheetml/2006/main" count="124" uniqueCount="121">
  <si>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</si>
  <si>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</si>
  <si>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</si>
  <si>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</si>
  <si>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</si>
  <si>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</si>
  <si>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</si>
  <si>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</si>
  <si>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</si>
  <si>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</si>
  <si>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</si>
  <si>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</si>
  <si>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</si>
  <si>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</si>
  <si>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</si>
  <si>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</si>
  <si>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</si>
  <si>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</si>
  <si>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</si>
  <si>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</si>
  <si>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</si>
  <si>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</si>
  <si>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</si>
  <si>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</si>
  <si>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</si>
  <si>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</si>
  <si>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</si>
  <si>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</si>
  <si>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</si>
  <si>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</si>
  <si>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</si>
  <si>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</si>
  <si>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</si>
  <si>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</si>
  <si>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</si>
  <si>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</si>
  <si>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</si>
  <si>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</si>
  <si>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</si>
  <si>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</si>
  <si>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</si>
  <si>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</si>
  <si>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</si>
  <si>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</si>
  <si>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</si>
  <si>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</si>
  <si>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</si>
  <si>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</si>
  <si>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</si>
  <si>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</si>
  <si>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</si>
  <si>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</si>
  <si>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</si>
  <si>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</si>
  <si>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</si>
  <si>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</si>
  <si>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</si>
  <si>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</si>
  <si>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</si>
  <si>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</si>
  <si>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</si>
  <si>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</si>
  <si>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</si>
  <si>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</si>
  <si>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</si>
  <si>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</si>
  <si>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</si>
  <si>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</si>
  <si>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</si>
  <si>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</si>
  <si>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</si>
  <si>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</si>
  <si>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</si>
  <si>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</si>
  <si>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</si>
  <si>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</si>
  <si>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</si>
  <si>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</si>
  <si>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</si>
  <si>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</si>
  <si>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</si>
  <si>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</si>
  <si>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</si>
  <si>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</si>
  <si>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</si>
  <si>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</si>
  <si>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</si>
  <si>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</si>
  <si>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</si>
  <si>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</si>
  <si>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</si>
  <si>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</si>
  <si>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</si>
  <si>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</si>
  <si>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</si>
  <si>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</si>
  <si>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</si>
  <si>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</si>
  <si>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</si>
  <si>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</si>
  <si>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</si>
  <si>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</si>
  <si>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</si>
  <si>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</si>
  <si>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</si>
  <si>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</si>
  <si>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Самійла Кішки від вул. Чайковського до просп.Хіміків (тротуар), м. Черкаси (з ПКД)</t>
  </si>
  <si>
    <t>Капітальний ремонт внутрішньоквартального проїзду від буд. Горького 130 до буд. Різдвяна 115 в м. Черкаси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</si>
  <si>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 (за рахунок субвенції з ДБ соціально-економічний розвиток - 1000000 грн.)</t>
  </si>
  <si>
    <t>Профін за рахунок субвенції з ДБ</t>
  </si>
  <si>
    <t>Реконструкція вул. Героїв Дніпра  (від вул. Сержанта Смірнова до вул. Козацька), в м. Черкаси (з ПКД)</t>
  </si>
  <si>
    <t>Реконструкція вул. Можайського (з ПКД)</t>
  </si>
  <si>
    <t>Реконструкція вул. Дахнівська (з ПКД)</t>
  </si>
  <si>
    <t>Реконструкція вул. Канівська (з ПКД)</t>
  </si>
  <si>
    <t>на погашення кредиторської заборгованості за рішенням суду</t>
  </si>
  <si>
    <t>Реконструкція вулиці Толстого (влаштування автостоянки) в місті Черкаси</t>
  </si>
  <si>
    <t>Залишок призначень до річного  плану</t>
  </si>
  <si>
    <t xml:space="preserve">поточний ремонт та утримання технічних засобів організації дорожнього руху </t>
  </si>
  <si>
    <t>Реконструкція вул. Гоголя від вул. Смілянська до вул. О. Дашкевича</t>
  </si>
  <si>
    <t>Реконструкція вул. О. Дашкевича від вул. Гоголя до вул. Хрещатик</t>
  </si>
  <si>
    <t>Профінансовано станом на 15.12.16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</si>
</sst>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0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3" fillId="20" borderId="0" xfId="76" applyNumberFormat="1" applyFont="1" applyFill="1" applyBorder="1" applyAlignment="1">
      <alignment horizontal="center"/>
      <protection/>
    </xf>
    <xf numFmtId="4" fontId="20" fillId="20" borderId="0" xfId="76" applyNumberFormat="1" applyFont="1" applyFill="1" applyBorder="1" applyAlignment="1">
      <alignment horizontal="center"/>
      <protection/>
    </xf>
    <xf numFmtId="191" fontId="20" fillId="20" borderId="0" xfId="76" applyNumberFormat="1" applyFont="1" applyFill="1" applyBorder="1" applyAlignment="1">
      <alignment horizontal="center"/>
      <protection/>
    </xf>
    <xf numFmtId="0" fontId="20" fillId="0" borderId="10" xfId="0" applyFont="1" applyFill="1" applyBorder="1" applyAlignment="1">
      <alignment horizontal="left" vertical="top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6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2"/>
  <sheetViews>
    <sheetView tabSelected="1" view="pageBreakPreview" zoomScale="60" zoomScaleNormal="70" zoomScalePageLayoutView="0" workbookViewId="0" topLeftCell="A1">
      <pane xSplit="3" ySplit="7" topLeftCell="D1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26" sqref="H26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20.16015625" style="7" customWidth="1"/>
    <col min="10" max="10" width="23" style="7" hidden="1" customWidth="1"/>
    <col min="11" max="11" width="20.5" style="7" hidden="1" customWidth="1"/>
    <col min="12" max="12" width="19.66015625" style="7" hidden="1" customWidth="1"/>
    <col min="13" max="13" width="20.83203125" style="7" hidden="1" customWidth="1"/>
    <col min="14" max="14" width="23.16015625" style="7" hidden="1" customWidth="1"/>
    <col min="15" max="15" width="28.33203125" style="7" hidden="1" customWidth="1"/>
    <col min="16" max="16" width="23.66015625" style="7" hidden="1" customWidth="1"/>
    <col min="17" max="17" width="26.5" style="7" hidden="1" customWidth="1"/>
    <col min="18" max="18" width="21.16015625" style="7" hidden="1" customWidth="1"/>
    <col min="19" max="19" width="24.16015625" style="7" hidden="1" customWidth="1"/>
    <col min="20" max="20" width="21.83203125" style="7" hidden="1" customWidth="1"/>
    <col min="21" max="21" width="21.16015625" style="7" hidden="1" customWidth="1"/>
    <col min="22" max="22" width="22.83203125" style="7" hidden="1" customWidth="1"/>
    <col min="23" max="23" width="23.5" style="7" hidden="1" customWidth="1"/>
    <col min="24" max="24" width="15.16015625" style="7" hidden="1" customWidth="1"/>
    <col min="25" max="25" width="29" style="7" hidden="1" customWidth="1"/>
    <col min="26" max="26" width="9.33203125" style="7" hidden="1" customWidth="1"/>
    <col min="27" max="27" width="0" style="7" hidden="1" customWidth="1"/>
    <col min="28" max="16384" width="9.33203125" style="7" customWidth="1"/>
  </cols>
  <sheetData>
    <row r="1" spans="1:8" ht="21" customHeight="1">
      <c r="A1" s="86" t="s">
        <v>10</v>
      </c>
      <c r="B1" s="86"/>
      <c r="C1" s="86"/>
      <c r="D1" s="86"/>
      <c r="E1" s="86"/>
      <c r="F1" s="86"/>
      <c r="G1" s="86"/>
      <c r="H1" s="86"/>
    </row>
    <row r="2" spans="1:8" ht="20.25" customHeight="1">
      <c r="A2" s="87" t="s">
        <v>11</v>
      </c>
      <c r="B2" s="87"/>
      <c r="C2" s="87"/>
      <c r="D2" s="87"/>
      <c r="E2" s="87"/>
      <c r="F2" s="87"/>
      <c r="G2" s="87"/>
      <c r="H2" s="87"/>
    </row>
    <row r="3" spans="3:7" ht="13.5" customHeight="1">
      <c r="C3" s="9"/>
      <c r="D3" s="8"/>
      <c r="E3" s="10"/>
      <c r="G3" s="11" t="s">
        <v>12</v>
      </c>
    </row>
    <row r="4" spans="1:23" ht="12" customHeight="1">
      <c r="A4" s="89" t="s">
        <v>7</v>
      </c>
      <c r="B4" s="12"/>
      <c r="C4" s="89" t="s">
        <v>13</v>
      </c>
      <c r="D4" s="88" t="s">
        <v>14</v>
      </c>
      <c r="E4" s="88" t="s">
        <v>0</v>
      </c>
      <c r="F4" s="88" t="s">
        <v>1</v>
      </c>
      <c r="G4" s="14" t="s">
        <v>2</v>
      </c>
      <c r="H4" s="88" t="s">
        <v>120</v>
      </c>
      <c r="I4" s="79" t="s">
        <v>40</v>
      </c>
      <c r="J4" s="84" t="s">
        <v>116</v>
      </c>
      <c r="K4" s="79" t="s">
        <v>41</v>
      </c>
      <c r="L4" s="79" t="s">
        <v>42</v>
      </c>
      <c r="M4" s="79" t="s">
        <v>43</v>
      </c>
      <c r="N4" s="79" t="s">
        <v>44</v>
      </c>
      <c r="O4" s="79" t="s">
        <v>45</v>
      </c>
      <c r="P4" s="79" t="s">
        <v>46</v>
      </c>
      <c r="Q4" s="79" t="s">
        <v>47</v>
      </c>
      <c r="R4" s="79" t="s">
        <v>48</v>
      </c>
      <c r="S4" s="79" t="s">
        <v>49</v>
      </c>
      <c r="T4" s="79" t="s">
        <v>50</v>
      </c>
      <c r="U4" s="79" t="s">
        <v>51</v>
      </c>
      <c r="V4" s="79" t="s">
        <v>52</v>
      </c>
      <c r="W4" s="79" t="s">
        <v>53</v>
      </c>
    </row>
    <row r="5" spans="1:25" ht="55.5" customHeight="1">
      <c r="A5" s="89"/>
      <c r="B5" s="15" t="s">
        <v>8</v>
      </c>
      <c r="C5" s="89"/>
      <c r="D5" s="88"/>
      <c r="E5" s="88"/>
      <c r="F5" s="88"/>
      <c r="G5" s="13" t="s">
        <v>6</v>
      </c>
      <c r="H5" s="88"/>
      <c r="I5" s="80"/>
      <c r="J5" s="85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Y5" s="55" t="s">
        <v>109</v>
      </c>
    </row>
    <row r="6" spans="1:10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49"/>
    </row>
    <row r="7" spans="1:24" s="16" customFormat="1" ht="19.5" customHeight="1">
      <c r="A7" s="81" t="s">
        <v>15</v>
      </c>
      <c r="B7" s="82"/>
      <c r="C7" s="82"/>
      <c r="D7" s="82"/>
      <c r="E7" s="82"/>
      <c r="F7" s="82"/>
      <c r="G7" s="82"/>
      <c r="H7" s="82"/>
      <c r="I7" s="83"/>
      <c r="J7" s="50"/>
      <c r="X7" s="66"/>
    </row>
    <row r="8" spans="1:24" ht="37.5" customHeight="1">
      <c r="A8" s="17">
        <v>1</v>
      </c>
      <c r="B8" s="18"/>
      <c r="C8" s="19" t="s">
        <v>16</v>
      </c>
      <c r="D8" s="20">
        <f>D9+D26</f>
        <v>180682382.84</v>
      </c>
      <c r="E8" s="20">
        <f>E9+E26</f>
        <v>48217294.690000005</v>
      </c>
      <c r="F8" s="20">
        <f>F9+F26</f>
        <v>132465088.14999999</v>
      </c>
      <c r="G8" s="20">
        <f>G9+G26</f>
        <v>132465088.14999999</v>
      </c>
      <c r="H8" s="20">
        <f>H9+H26</f>
        <v>158572089.03000003</v>
      </c>
      <c r="I8" s="67">
        <f>H8/D8*100</f>
        <v>87.76289449891784</v>
      </c>
      <c r="J8" s="63">
        <f>J9+J17</f>
        <v>4484744.22</v>
      </c>
      <c r="K8" s="63">
        <f aca="true" t="shared" si="0" ref="K8:W8">K9+K17</f>
        <v>112816</v>
      </c>
      <c r="L8" s="63">
        <f t="shared" si="0"/>
        <v>1300000</v>
      </c>
      <c r="M8" s="63">
        <f t="shared" si="0"/>
        <v>3700000</v>
      </c>
      <c r="N8" s="63">
        <f t="shared" si="0"/>
        <v>8500000</v>
      </c>
      <c r="O8" s="63">
        <f t="shared" si="0"/>
        <v>4469971.76</v>
      </c>
      <c r="P8" s="63">
        <f t="shared" si="0"/>
        <v>5516190</v>
      </c>
      <c r="Q8" s="63">
        <f t="shared" si="0"/>
        <v>2467079.39</v>
      </c>
      <c r="R8" s="63">
        <f t="shared" si="0"/>
        <v>2899622</v>
      </c>
      <c r="S8" s="63">
        <f t="shared" si="0"/>
        <v>1719340.78</v>
      </c>
      <c r="T8" s="63">
        <f t="shared" si="0"/>
        <v>5817444</v>
      </c>
      <c r="U8" s="63">
        <f t="shared" si="0"/>
        <v>3673153.73</v>
      </c>
      <c r="V8" s="63">
        <f t="shared" si="0"/>
        <v>8041677.029999999</v>
      </c>
      <c r="W8" s="63">
        <f t="shared" si="0"/>
        <v>48217294.69</v>
      </c>
      <c r="X8" s="66"/>
    </row>
    <row r="9" spans="1:24" ht="18.75">
      <c r="A9" s="1"/>
      <c r="B9" s="21"/>
      <c r="C9" s="22" t="s">
        <v>17</v>
      </c>
      <c r="D9" s="23">
        <f>D11+D13+D12+D14+D17+D10+D15+D16</f>
        <v>48217294.690000005</v>
      </c>
      <c r="E9" s="23">
        <f>E11+E13+E12+E14+E17+E10+E15+E16</f>
        <v>48217294.690000005</v>
      </c>
      <c r="F9" s="23"/>
      <c r="G9" s="23"/>
      <c r="H9" s="23">
        <f>H11+H13+H12+H14+H17+H10+H15+H16</f>
        <v>43732550.470000006</v>
      </c>
      <c r="I9" s="45">
        <f>H9/D9*100</f>
        <v>90.69888875177787</v>
      </c>
      <c r="J9" s="23">
        <f>K9+L9+M9+N9+O9+P9+Q9+R9+S9+T9+U9+V9-H10-H11-H12-H13-H14-H15-H16</f>
        <v>1895992.4699999997</v>
      </c>
      <c r="K9" s="25">
        <v>112816</v>
      </c>
      <c r="L9" s="25">
        <v>1000000</v>
      </c>
      <c r="M9" s="25">
        <f>1500000+1000000</f>
        <v>2500000</v>
      </c>
      <c r="N9" s="25">
        <f>2000000+5000000-1000000</f>
        <v>6000000</v>
      </c>
      <c r="O9" s="25">
        <f>2000000+3000000-1000000-1286764.24</f>
        <v>2713235.76</v>
      </c>
      <c r="P9" s="25">
        <f>2000000+1000000+1000000-342535.4</f>
        <v>3657464.6</v>
      </c>
      <c r="Q9" s="25">
        <f>1340484+400000-309104.61</f>
        <v>1431379.3900000001</v>
      </c>
      <c r="R9" s="25">
        <f>630000+300000-309316+200000</f>
        <v>820684</v>
      </c>
      <c r="S9" s="25">
        <f>500000+300000-163391+120000+378405.78</f>
        <v>1135014.78</v>
      </c>
      <c r="T9" s="25">
        <f>500000-176556+580000+500000+500000+3264000</f>
        <v>5167444</v>
      </c>
      <c r="U9" s="25">
        <f>155286.11+100000+2000000-1000000+728592+1345600+8428-9934.38</f>
        <v>3327971.73</v>
      </c>
      <c r="V9" s="25">
        <f>4511739.26-2753308.83+2506400-3264000+519572+2200000+920000</f>
        <v>4640402.43</v>
      </c>
      <c r="W9" s="25">
        <f>SUM(K9:V9)</f>
        <v>32506412.69</v>
      </c>
      <c r="X9" s="66"/>
    </row>
    <row r="10" spans="1:24" ht="18.75">
      <c r="A10" s="1"/>
      <c r="B10" s="21"/>
      <c r="C10" s="24" t="s">
        <v>18</v>
      </c>
      <c r="D10" s="25">
        <f aca="true" t="shared" si="1" ref="D10:D16">E10+F10</f>
        <v>18551000</v>
      </c>
      <c r="E10" s="25">
        <f>5351600+10000000+764500-2417100+3852000+300000+700000</f>
        <v>18551000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1079291.2+374029.81+392726.79+335210.14+1166784.37+248971.54+78055.41+504121.7+256249.78+7283.04+468186.86+120316.26+189729.87+763675.19+275601.44+1958304.53+164663.71+1758751.5+1175455.08+1169640.84+260263.66+171405.97+777491.3+775860.36+2706981+221166</f>
        <v>17400217.35</v>
      </c>
      <c r="I10" s="46">
        <f>H10/D10*100</f>
        <v>93.79665435825562</v>
      </c>
      <c r="J10" s="51">
        <f>E10-H10</f>
        <v>1150782.6499999985</v>
      </c>
      <c r="X10" s="66"/>
    </row>
    <row r="11" spans="1:24" ht="18.75">
      <c r="A11" s="1"/>
      <c r="B11" s="21"/>
      <c r="C11" s="24" t="s">
        <v>19</v>
      </c>
      <c r="D11" s="25">
        <f t="shared" si="1"/>
        <v>451849.1999999996</v>
      </c>
      <c r="E11" s="25">
        <f>982900+2417100-506142.78-2432381.14-9626.88</f>
        <v>451849.1999999996</v>
      </c>
      <c r="F11" s="23"/>
      <c r="G11" s="23"/>
      <c r="H11" s="25">
        <f>451849.2</f>
        <v>451849.2</v>
      </c>
      <c r="I11" s="46">
        <f>H11/D11*100</f>
        <v>100.00000000000009</v>
      </c>
      <c r="J11" s="76">
        <f aca="true" t="shared" si="2" ref="J11:J16">E11-H11</f>
        <v>0</v>
      </c>
      <c r="X11" s="66"/>
    </row>
    <row r="12" spans="1:24" s="4" customFormat="1" ht="18.75">
      <c r="A12" s="1"/>
      <c r="B12" s="5"/>
      <c r="C12" s="24" t="s">
        <v>20</v>
      </c>
      <c r="D12" s="25">
        <f t="shared" si="1"/>
        <v>4038442.7800000003</v>
      </c>
      <c r="E12" s="25">
        <f>2184300+506142.78+900000+228000+220000</f>
        <v>4038442.7800000003</v>
      </c>
      <c r="F12" s="23"/>
      <c r="G12" s="23"/>
      <c r="H12" s="25">
        <f>331467.14+106925.68+394576.92+560896.43+312913.8+181149.71+154261.46+51750.36+211201.75+314248.84+99469.37+149978.7+512932.77+29270.66+29453.84+29417.14+18966.77+164984.05</f>
        <v>3653865.39</v>
      </c>
      <c r="I12" s="46">
        <f>H12/D12*100</f>
        <v>90.47708706176097</v>
      </c>
      <c r="J12" s="51">
        <f t="shared" si="2"/>
        <v>384577.39000000013</v>
      </c>
      <c r="X12" s="66"/>
    </row>
    <row r="13" spans="1:24" ht="18.75">
      <c r="A13" s="1"/>
      <c r="B13" s="21"/>
      <c r="C13" s="24" t="s">
        <v>103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112816+55640+105284+65797+148786+73708+205280+177311+176534+188895+224994+196623+259519+471045.12+88954.71</f>
        <v>2551186.83</v>
      </c>
      <c r="I13" s="46">
        <f aca="true" t="shared" si="3" ref="I13:I25">H13/D13*100</f>
        <v>91.11381535714285</v>
      </c>
      <c r="J13" s="51">
        <f t="shared" si="2"/>
        <v>248813.16999999993</v>
      </c>
      <c r="X13" s="66"/>
    </row>
    <row r="14" spans="1:24" ht="43.5" customHeight="1">
      <c r="A14" s="1"/>
      <c r="B14" s="21"/>
      <c r="C14" s="24" t="s">
        <v>21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51">
        <f t="shared" si="2"/>
        <v>25500</v>
      </c>
      <c r="X14" s="66"/>
    </row>
    <row r="15" spans="1:24" ht="43.5" customHeight="1">
      <c r="A15" s="1"/>
      <c r="B15" s="21"/>
      <c r="C15" s="24" t="s">
        <v>104</v>
      </c>
      <c r="D15" s="25">
        <f t="shared" si="1"/>
        <v>2106690.2800000003</v>
      </c>
      <c r="E15" s="25">
        <f>378405.78+1728592-307.5</f>
        <v>2106690.2800000003</v>
      </c>
      <c r="F15" s="23"/>
      <c r="G15" s="23"/>
      <c r="H15" s="25">
        <f>319398.5+58700+964674.28+71415+299712.5+141587-80937+332140</f>
        <v>2106690.2800000003</v>
      </c>
      <c r="I15" s="46">
        <f t="shared" si="3"/>
        <v>100</v>
      </c>
      <c r="J15" s="77">
        <f>E15-H15</f>
        <v>0</v>
      </c>
      <c r="S15" s="69">
        <v>378405.78</v>
      </c>
      <c r="T15" s="69">
        <v>1000000</v>
      </c>
      <c r="U15" s="7">
        <v>728592</v>
      </c>
      <c r="X15" s="66"/>
    </row>
    <row r="16" spans="1:24" ht="80.25" customHeight="1">
      <c r="A16" s="1"/>
      <c r="B16" s="21"/>
      <c r="C16" s="24" t="s">
        <v>105</v>
      </c>
      <c r="D16" s="25">
        <f t="shared" si="1"/>
        <v>4458430.43</v>
      </c>
      <c r="E16" s="25">
        <f>6511739.26-4253308.83+2200000</f>
        <v>4458430.43</v>
      </c>
      <c r="F16" s="23"/>
      <c r="G16" s="23"/>
      <c r="H16" s="25">
        <f>80937+76866+96945+204525+895937.25+395683+2551746.17+69471.75</f>
        <v>4372111.17</v>
      </c>
      <c r="I16" s="46">
        <f t="shared" si="3"/>
        <v>98.06390923094432</v>
      </c>
      <c r="J16" s="51">
        <f t="shared" si="2"/>
        <v>86319.25999999978</v>
      </c>
      <c r="T16" s="69">
        <v>-500000</v>
      </c>
      <c r="U16" s="69">
        <f>2000000-1000000</f>
        <v>1000000</v>
      </c>
      <c r="V16" s="69">
        <f>4511739.26-2753308.83+2200000</f>
        <v>3958430.4299999997</v>
      </c>
      <c r="X16" s="66"/>
    </row>
    <row r="17" spans="1:24" ht="37.5">
      <c r="A17" s="1"/>
      <c r="B17" s="21"/>
      <c r="C17" s="24" t="s">
        <v>5</v>
      </c>
      <c r="D17" s="25">
        <f>D19+D20+D21+D23+D24+D25+D18+D22</f>
        <v>15710882</v>
      </c>
      <c r="E17" s="25">
        <f>E19+E20+E21+E23+E24+E25+E18+E22</f>
        <v>15710882</v>
      </c>
      <c r="F17" s="25"/>
      <c r="G17" s="12"/>
      <c r="H17" s="25">
        <f>H21+H18+H19+H20+H23+H24+H25+H22</f>
        <v>13122130.25</v>
      </c>
      <c r="I17" s="46">
        <f t="shared" si="3"/>
        <v>83.52255621294844</v>
      </c>
      <c r="J17" s="68">
        <f>K17+L17+M17+N17+O17+P17+Q17+R17+S17+T17+U17+V17-H17</f>
        <v>2588751.75</v>
      </c>
      <c r="K17" s="25">
        <v>0</v>
      </c>
      <c r="L17" s="25">
        <v>300000</v>
      </c>
      <c r="M17" s="25">
        <f>700000+500000</f>
        <v>1200000</v>
      </c>
      <c r="N17" s="25">
        <f>1000000+2500000-1000000</f>
        <v>2500000</v>
      </c>
      <c r="O17" s="25">
        <f>1000000+1000000-1000000+756736</f>
        <v>1756736</v>
      </c>
      <c r="P17" s="25">
        <f>1000000+1000000-141274.6</f>
        <v>1858725.4</v>
      </c>
      <c r="Q17" s="25">
        <f>410700+600000+25000</f>
        <v>1035700</v>
      </c>
      <c r="R17" s="25">
        <f>150000+700000+1008938+220000</f>
        <v>2078938</v>
      </c>
      <c r="S17" s="25">
        <f>150000+700000+234326-500000</f>
        <v>584326</v>
      </c>
      <c r="T17" s="25">
        <f>150000+500000</f>
        <v>650000</v>
      </c>
      <c r="U17" s="25">
        <f>150000+195182</f>
        <v>345182</v>
      </c>
      <c r="V17" s="25">
        <f>150000-58725.4+3110000+200000</f>
        <v>3401274.6</v>
      </c>
      <c r="W17" s="23">
        <f>SUM(K17:V17)</f>
        <v>15710882</v>
      </c>
      <c r="X17" s="66">
        <f>D17-W17</f>
        <v>0</v>
      </c>
    </row>
    <row r="18" spans="1:24" ht="18.75">
      <c r="A18" s="1"/>
      <c r="B18" s="21"/>
      <c r="C18" s="26" t="s">
        <v>22</v>
      </c>
      <c r="D18" s="27">
        <f aca="true" t="shared" si="4" ref="D18:D24">E18</f>
        <v>5913500</v>
      </c>
      <c r="E18" s="25">
        <f>2293500+2000000-200000+420000+2000000-600000</f>
        <v>5913500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+124437.49+104116.87+12534.01+50713.02+4518.3+1928.28+75385+1140.72+109954.5+583385.96+903670.39</f>
        <v>5702785.98</v>
      </c>
      <c r="I18" s="47">
        <f>H18/D18*100</f>
        <v>96.43672917899721</v>
      </c>
      <c r="J18" s="75">
        <f>D18-H18</f>
        <v>210714.01999999955</v>
      </c>
      <c r="X18" s="66"/>
    </row>
    <row r="19" spans="1:24" ht="18.75">
      <c r="A19" s="1"/>
      <c r="B19" s="21"/>
      <c r="C19" s="26" t="s">
        <v>23</v>
      </c>
      <c r="D19" s="27">
        <f t="shared" si="4"/>
        <v>6827600</v>
      </c>
      <c r="E19" s="27">
        <f>327600+3000000+2000000+1110000-500000-110000+1000000</f>
        <v>6827600</v>
      </c>
      <c r="F19" s="27"/>
      <c r="G19" s="28"/>
      <c r="H19" s="27">
        <f>967227.6+543559.2+129600+884272.8+1164690+6055.65+983298+38257.6+23865+1915.18+220875.02</f>
        <v>4963616.049999999</v>
      </c>
      <c r="I19" s="47">
        <f>H19/D19*100</f>
        <v>72.69928012771689</v>
      </c>
      <c r="J19" s="75">
        <f aca="true" t="shared" si="5" ref="J19:J52">D19-H19</f>
        <v>1863983.9500000011</v>
      </c>
      <c r="X19" s="66"/>
    </row>
    <row r="20" spans="1:24" ht="18.75">
      <c r="A20" s="1"/>
      <c r="B20" s="21"/>
      <c r="C20" s="26" t="s">
        <v>24</v>
      </c>
      <c r="D20" s="27">
        <f t="shared" si="4"/>
        <v>500300</v>
      </c>
      <c r="E20" s="27">
        <f>655300+25000-300000+220000-100000</f>
        <v>500300</v>
      </c>
      <c r="F20" s="27"/>
      <c r="G20" s="28"/>
      <c r="H20" s="27">
        <f>33430+14302.4+16715+233883+3305.69+64418.18+96967.47</f>
        <v>463021.74</v>
      </c>
      <c r="I20" s="47"/>
      <c r="J20" s="75">
        <f t="shared" si="5"/>
        <v>37278.26000000001</v>
      </c>
      <c r="X20" s="66"/>
    </row>
    <row r="21" spans="1:24" ht="37.5">
      <c r="A21" s="1"/>
      <c r="B21" s="21"/>
      <c r="C21" s="26" t="s">
        <v>25</v>
      </c>
      <c r="D21" s="27">
        <f t="shared" si="4"/>
        <v>1179100</v>
      </c>
      <c r="E21" s="27">
        <f>819100+210000+250000-100000</f>
        <v>1179100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128728.47+4200+9322.5+26497.92+3440+5590+58700.13+2532.5+23991.58+2600+7533.5+73825+19431.03+2080+81725.75+62856.25+16705.51+11001.5+14790.06+2896.5+28899.36+164250.05+137258.29+5490+20980.81+17970.44+3795+32619.58+26699+3795+6000+21039+43165</f>
        <v>1070409.73</v>
      </c>
      <c r="I21" s="47">
        <f t="shared" si="3"/>
        <v>90.78192943770672</v>
      </c>
      <c r="J21" s="75">
        <f t="shared" si="5"/>
        <v>108690.27000000002</v>
      </c>
      <c r="X21" s="66"/>
    </row>
    <row r="22" spans="1:24" ht="18.75">
      <c r="A22" s="1"/>
      <c r="B22" s="21"/>
      <c r="C22" s="26" t="s">
        <v>114</v>
      </c>
      <c r="D22" s="27">
        <f t="shared" si="4"/>
        <v>305182</v>
      </c>
      <c r="E22" s="27">
        <v>305182</v>
      </c>
      <c r="F22" s="27"/>
      <c r="G22" s="28"/>
      <c r="H22" s="27">
        <f>305181.82</f>
        <v>305181.82</v>
      </c>
      <c r="I22" s="47"/>
      <c r="J22" s="75"/>
      <c r="X22" s="66"/>
    </row>
    <row r="23" spans="1:24" ht="18.75">
      <c r="A23" s="1"/>
      <c r="B23" s="21"/>
      <c r="C23" s="26" t="s">
        <v>26</v>
      </c>
      <c r="D23" s="27">
        <f t="shared" si="4"/>
        <v>341100</v>
      </c>
      <c r="E23" s="27">
        <f>131100+170000+40000-50000+50000</f>
        <v>341100</v>
      </c>
      <c r="F23" s="27"/>
      <c r="G23" s="28"/>
      <c r="H23" s="27">
        <f>48844.8+7632+59492+27934.2+25948.8+70748.64</f>
        <v>240600.44</v>
      </c>
      <c r="I23" s="47"/>
      <c r="J23" s="75">
        <f t="shared" si="5"/>
        <v>100499.56</v>
      </c>
      <c r="X23" s="66"/>
    </row>
    <row r="24" spans="1:24" ht="18.75" customHeight="1">
      <c r="A24" s="1"/>
      <c r="B24" s="21"/>
      <c r="C24" s="26" t="s">
        <v>117</v>
      </c>
      <c r="D24" s="27">
        <f t="shared" si="4"/>
        <v>275900</v>
      </c>
      <c r="E24" s="27">
        <f>395900-170000-100000+200000-50000</f>
        <v>275900</v>
      </c>
      <c r="F24" s="27"/>
      <c r="G24" s="28"/>
      <c r="H24" s="27">
        <f>23355.43+46349.97</f>
        <v>69705.4</v>
      </c>
      <c r="I24" s="47">
        <f t="shared" si="3"/>
        <v>25.264733599130118</v>
      </c>
      <c r="J24" s="75">
        <f t="shared" si="5"/>
        <v>206194.6</v>
      </c>
      <c r="V24" s="7">
        <v>200000</v>
      </c>
      <c r="X24" s="66"/>
    </row>
    <row r="25" spans="1:24" ht="58.5" customHeight="1">
      <c r="A25" s="1"/>
      <c r="B25" s="21"/>
      <c r="C25" s="26" t="s">
        <v>27</v>
      </c>
      <c r="D25" s="27">
        <f>E25</f>
        <v>368200</v>
      </c>
      <c r="E25" s="27">
        <f>538200-230000+310000-250000</f>
        <v>368200</v>
      </c>
      <c r="F25" s="27"/>
      <c r="G25" s="28"/>
      <c r="H25" s="27">
        <f>13333.72+209.18+54.39+1160.65+1554.15+59072+108060+123365</f>
        <v>306809.08999999997</v>
      </c>
      <c r="I25" s="47">
        <f t="shared" si="3"/>
        <v>83.32674904942965</v>
      </c>
      <c r="J25" s="75">
        <f t="shared" si="5"/>
        <v>61390.91000000003</v>
      </c>
      <c r="X25" s="66"/>
    </row>
    <row r="26" spans="1:24" ht="26.25" customHeight="1">
      <c r="A26" s="1"/>
      <c r="B26" s="21"/>
      <c r="C26" s="29" t="s">
        <v>29</v>
      </c>
      <c r="D26" s="30">
        <f>SUM(D27:D52)</f>
        <v>132465088.14999999</v>
      </c>
      <c r="E26" s="30"/>
      <c r="F26" s="30">
        <f>SUM(F27:F52)</f>
        <v>132465088.14999999</v>
      </c>
      <c r="G26" s="30">
        <f>SUM(G27:G52)</f>
        <v>132465088.14999999</v>
      </c>
      <c r="H26" s="30">
        <f>SUM(H27:H52)</f>
        <v>114839538.56000002</v>
      </c>
      <c r="I26" s="45">
        <f>H26/D26*100</f>
        <v>86.69419253317427</v>
      </c>
      <c r="J26" s="52">
        <f t="shared" si="5"/>
        <v>17625549.589999974</v>
      </c>
      <c r="K26" s="62">
        <f aca="true" t="shared" si="6" ref="K26:V26">SUM(K27:K52)</f>
        <v>0</v>
      </c>
      <c r="L26" s="62">
        <f t="shared" si="6"/>
        <v>0</v>
      </c>
      <c r="M26" s="62">
        <f t="shared" si="6"/>
        <v>5770000</v>
      </c>
      <c r="N26" s="62">
        <f t="shared" si="6"/>
        <v>14486801.99</v>
      </c>
      <c r="O26" s="62">
        <f aca="true" t="shared" si="7" ref="O26:T26">SUM(O27:O52)</f>
        <v>13603977.01</v>
      </c>
      <c r="P26" s="62">
        <f t="shared" si="7"/>
        <v>3768235.380000001</v>
      </c>
      <c r="Q26" s="62">
        <f t="shared" si="7"/>
        <v>18763192.62</v>
      </c>
      <c r="R26" s="62">
        <f t="shared" si="7"/>
        <v>24610815.8</v>
      </c>
      <c r="S26" s="62">
        <f t="shared" si="7"/>
        <v>18073818.25</v>
      </c>
      <c r="T26" s="62">
        <f t="shared" si="7"/>
        <v>4077128.3200000003</v>
      </c>
      <c r="U26" s="62">
        <f t="shared" si="6"/>
        <v>15933526.81</v>
      </c>
      <c r="V26" s="62">
        <f t="shared" si="6"/>
        <v>13377591.97</v>
      </c>
      <c r="W26" s="62">
        <f>SUM(W27:W52)</f>
        <v>132465088.14999999</v>
      </c>
      <c r="X26" s="66">
        <f aca="true" t="shared" si="8" ref="X26:X52">D26-W26</f>
        <v>0</v>
      </c>
    </row>
    <row r="27" spans="1:24" s="4" customFormat="1" ht="26.25" customHeight="1">
      <c r="A27" s="1"/>
      <c r="B27" s="5"/>
      <c r="C27" s="54" t="s">
        <v>54</v>
      </c>
      <c r="D27" s="32">
        <f>F27</f>
        <v>170000</v>
      </c>
      <c r="E27" s="30"/>
      <c r="F27" s="32">
        <f>G27</f>
        <v>170000</v>
      </c>
      <c r="G27" s="32">
        <f>200000+220000-250000</f>
        <v>170000</v>
      </c>
      <c r="H27" s="25">
        <f>170000</f>
        <v>170000</v>
      </c>
      <c r="I27" s="46">
        <f>H27/D27*100</f>
        <v>100</v>
      </c>
      <c r="J27" s="52">
        <f t="shared" si="5"/>
        <v>0</v>
      </c>
      <c r="K27" s="53"/>
      <c r="L27" s="43"/>
      <c r="M27" s="43">
        <v>100000</v>
      </c>
      <c r="N27" s="43">
        <v>100000</v>
      </c>
      <c r="O27" s="43"/>
      <c r="P27" s="43"/>
      <c r="Q27" s="43">
        <f>220000</f>
        <v>220000</v>
      </c>
      <c r="R27" s="43"/>
      <c r="S27" s="43">
        <f>220000-220000</f>
        <v>0</v>
      </c>
      <c r="T27" s="43">
        <v>-250000</v>
      </c>
      <c r="U27" s="43"/>
      <c r="V27" s="43">
        <f>250000-250000</f>
        <v>0</v>
      </c>
      <c r="W27" s="70">
        <f>SUM(K27:V27)</f>
        <v>170000</v>
      </c>
      <c r="X27" s="71">
        <f t="shared" si="8"/>
        <v>0</v>
      </c>
    </row>
    <row r="28" spans="1:24" s="4" customFormat="1" ht="27" customHeight="1">
      <c r="A28" s="1"/>
      <c r="B28" s="5"/>
      <c r="C28" s="54" t="s">
        <v>94</v>
      </c>
      <c r="D28" s="32">
        <f aca="true" t="shared" si="9" ref="D28:D48">F28</f>
        <v>40000</v>
      </c>
      <c r="E28" s="30"/>
      <c r="F28" s="32">
        <f aca="true" t="shared" si="10" ref="F28:F49">G28</f>
        <v>40000</v>
      </c>
      <c r="G28" s="32">
        <f>590000-550000</f>
        <v>40000</v>
      </c>
      <c r="H28" s="25">
        <f>40000</f>
        <v>40000</v>
      </c>
      <c r="I28" s="46">
        <f>H28/D28*100</f>
        <v>100</v>
      </c>
      <c r="J28" s="52">
        <f t="shared" si="5"/>
        <v>0</v>
      </c>
      <c r="K28" s="53"/>
      <c r="L28" s="43"/>
      <c r="M28" s="43"/>
      <c r="N28" s="43"/>
      <c r="O28" s="43"/>
      <c r="P28" s="43"/>
      <c r="Q28" s="43">
        <f>40000</f>
        <v>40000</v>
      </c>
      <c r="R28" s="43"/>
      <c r="S28" s="43"/>
      <c r="T28" s="43">
        <f>420000-420000</f>
        <v>0</v>
      </c>
      <c r="U28" s="43">
        <f>170000-130000-40000</f>
        <v>0</v>
      </c>
      <c r="V28" s="43"/>
      <c r="W28" s="70">
        <f aca="true" t="shared" si="11" ref="W28:W52">SUM(K28:V28)</f>
        <v>40000</v>
      </c>
      <c r="X28" s="71">
        <f t="shared" si="8"/>
        <v>0</v>
      </c>
    </row>
    <row r="29" spans="1:24" s="4" customFormat="1" ht="23.25" customHeight="1">
      <c r="A29" s="1"/>
      <c r="B29" s="5"/>
      <c r="C29" s="54" t="s">
        <v>55</v>
      </c>
      <c r="D29" s="32">
        <f t="shared" si="9"/>
        <v>377958.84</v>
      </c>
      <c r="E29" s="30"/>
      <c r="F29" s="32">
        <f t="shared" si="10"/>
        <v>377958.84</v>
      </c>
      <c r="G29" s="32">
        <f>471000-93000-41.16</f>
        <v>377958.84</v>
      </c>
      <c r="H29" s="25">
        <f>270000+107958.84</f>
        <v>377958.83999999997</v>
      </c>
      <c r="I29" s="46">
        <f aca="true" t="shared" si="12" ref="I29:I43">H29/D29*100</f>
        <v>99.99999999999999</v>
      </c>
      <c r="J29" s="52">
        <f t="shared" si="5"/>
        <v>0</v>
      </c>
      <c r="K29" s="53"/>
      <c r="L29" s="43"/>
      <c r="M29" s="43">
        <v>300000</v>
      </c>
      <c r="N29" s="43">
        <v>171000</v>
      </c>
      <c r="O29" s="43"/>
      <c r="P29" s="43">
        <f>-471000</f>
        <v>-471000</v>
      </c>
      <c r="Q29" s="43">
        <f>471000</f>
        <v>471000</v>
      </c>
      <c r="R29" s="43">
        <v>-93000</v>
      </c>
      <c r="S29" s="43"/>
      <c r="T29" s="43"/>
      <c r="U29" s="43">
        <v>-41.16</v>
      </c>
      <c r="V29" s="43"/>
      <c r="W29" s="70">
        <f t="shared" si="11"/>
        <v>377958.84</v>
      </c>
      <c r="X29" s="71">
        <f t="shared" si="8"/>
        <v>0</v>
      </c>
    </row>
    <row r="30" spans="1:24" s="4" customFormat="1" ht="23.25" customHeight="1">
      <c r="A30" s="1"/>
      <c r="B30" s="5"/>
      <c r="C30" s="54" t="s">
        <v>56</v>
      </c>
      <c r="D30" s="32">
        <f t="shared" si="9"/>
        <v>345303.57</v>
      </c>
      <c r="E30" s="30"/>
      <c r="F30" s="32">
        <f t="shared" si="10"/>
        <v>345303.57</v>
      </c>
      <c r="G30" s="32">
        <f>320000+40000-14696.43</f>
        <v>345303.57</v>
      </c>
      <c r="H30" s="25">
        <f>20000+15000+230000+75265.57+5038</f>
        <v>345303.57</v>
      </c>
      <c r="I30" s="46">
        <f t="shared" si="12"/>
        <v>100</v>
      </c>
      <c r="J30" s="52">
        <f t="shared" si="5"/>
        <v>0</v>
      </c>
      <c r="K30" s="53"/>
      <c r="L30" s="43"/>
      <c r="M30" s="43">
        <v>120000</v>
      </c>
      <c r="N30" s="43">
        <v>200000</v>
      </c>
      <c r="O30" s="43"/>
      <c r="P30" s="43">
        <f>-100000</f>
        <v>-100000</v>
      </c>
      <c r="Q30" s="43">
        <f>100000</f>
        <v>100000</v>
      </c>
      <c r="R30" s="43">
        <f>100000-100000+40000</f>
        <v>40000</v>
      </c>
      <c r="S30" s="43"/>
      <c r="T30" s="43"/>
      <c r="U30" s="43">
        <v>-14696.43</v>
      </c>
      <c r="V30" s="43"/>
      <c r="W30" s="70">
        <f t="shared" si="11"/>
        <v>345303.57</v>
      </c>
      <c r="X30" s="71">
        <f t="shared" si="8"/>
        <v>0</v>
      </c>
    </row>
    <row r="31" spans="1:24" s="4" customFormat="1" ht="21" customHeight="1">
      <c r="A31" s="1"/>
      <c r="B31" s="5"/>
      <c r="C31" s="54" t="s">
        <v>57</v>
      </c>
      <c r="D31" s="32">
        <f t="shared" si="9"/>
        <v>401532.27</v>
      </c>
      <c r="E31" s="30"/>
      <c r="F31" s="32">
        <f t="shared" si="10"/>
        <v>401532.27</v>
      </c>
      <c r="G31" s="32">
        <f>250000+152000-467.73</f>
        <v>401532.27</v>
      </c>
      <c r="H31" s="25">
        <f>20000+15000+147000+219532.27</f>
        <v>401532.27</v>
      </c>
      <c r="I31" s="46">
        <f t="shared" si="12"/>
        <v>100</v>
      </c>
      <c r="J31" s="52">
        <f t="shared" si="5"/>
        <v>0</v>
      </c>
      <c r="K31" s="53"/>
      <c r="L31" s="43"/>
      <c r="M31" s="43">
        <v>250000</v>
      </c>
      <c r="N31" s="43"/>
      <c r="O31" s="43"/>
      <c r="P31" s="43">
        <f>-80000</f>
        <v>-80000</v>
      </c>
      <c r="Q31" s="43">
        <f>80000</f>
        <v>80000</v>
      </c>
      <c r="R31" s="43">
        <f>80000-80000+152000</f>
        <v>152000</v>
      </c>
      <c r="S31" s="43"/>
      <c r="T31" s="43"/>
      <c r="U31" s="43">
        <v>-467.73</v>
      </c>
      <c r="V31" s="43"/>
      <c r="W31" s="70">
        <f t="shared" si="11"/>
        <v>401532.27</v>
      </c>
      <c r="X31" s="71">
        <f t="shared" si="8"/>
        <v>0</v>
      </c>
    </row>
    <row r="32" spans="1:24" s="4" customFormat="1" ht="21" customHeight="1">
      <c r="A32" s="1"/>
      <c r="B32" s="5"/>
      <c r="C32" s="54" t="s">
        <v>99</v>
      </c>
      <c r="D32" s="32">
        <f t="shared" si="9"/>
        <v>696958.72</v>
      </c>
      <c r="E32" s="30"/>
      <c r="F32" s="32">
        <f t="shared" si="10"/>
        <v>696958.72</v>
      </c>
      <c r="G32" s="32">
        <f>700000-3041.28</f>
        <v>696958.72</v>
      </c>
      <c r="H32" s="25">
        <f>27000+462000+207958.72</f>
        <v>696958.72</v>
      </c>
      <c r="I32" s="46">
        <f t="shared" si="12"/>
        <v>100</v>
      </c>
      <c r="J32" s="52">
        <f t="shared" si="5"/>
        <v>0</v>
      </c>
      <c r="K32" s="53"/>
      <c r="L32" s="43"/>
      <c r="M32" s="43"/>
      <c r="N32" s="43"/>
      <c r="O32" s="43"/>
      <c r="P32" s="43">
        <f>700000-200000</f>
        <v>500000</v>
      </c>
      <c r="Q32" s="43">
        <f>200000</f>
        <v>200000</v>
      </c>
      <c r="R32" s="43">
        <f>700000-700000</f>
        <v>0</v>
      </c>
      <c r="S32" s="43"/>
      <c r="T32" s="43"/>
      <c r="U32" s="43">
        <v>-3041.28</v>
      </c>
      <c r="V32" s="43"/>
      <c r="W32" s="70">
        <f t="shared" si="11"/>
        <v>696958.72</v>
      </c>
      <c r="X32" s="71">
        <f t="shared" si="8"/>
        <v>0</v>
      </c>
    </row>
    <row r="33" spans="1:24" s="4" customFormat="1" ht="24" customHeight="1">
      <c r="A33" s="1"/>
      <c r="B33" s="5"/>
      <c r="C33" s="54" t="s">
        <v>97</v>
      </c>
      <c r="D33" s="32">
        <f>F33</f>
        <v>1049852</v>
      </c>
      <c r="E33" s="30"/>
      <c r="F33" s="32">
        <f>G33</f>
        <v>1049852</v>
      </c>
      <c r="G33" s="32">
        <f>700000+350000-148</f>
        <v>1049852</v>
      </c>
      <c r="H33" s="25">
        <f>14000+433000+280000+300000+21454+1398</f>
        <v>1049852</v>
      </c>
      <c r="I33" s="46">
        <f>H33/D33*100</f>
        <v>100</v>
      </c>
      <c r="J33" s="52">
        <f t="shared" si="5"/>
        <v>0</v>
      </c>
      <c r="K33" s="53"/>
      <c r="L33" s="43"/>
      <c r="M33" s="43"/>
      <c r="N33" s="43"/>
      <c r="O33" s="43">
        <f>300000-100000</f>
        <v>200000</v>
      </c>
      <c r="P33" s="43">
        <v>146801.38</v>
      </c>
      <c r="Q33" s="43">
        <f>253198.62-248339+100000</f>
        <v>104859.62</v>
      </c>
      <c r="R33" s="43">
        <f>350000</f>
        <v>350000</v>
      </c>
      <c r="S33" s="43">
        <f>100000-100000</f>
        <v>0</v>
      </c>
      <c r="T33" s="43">
        <f>248339</f>
        <v>248339</v>
      </c>
      <c r="U33" s="43">
        <v>-148</v>
      </c>
      <c r="V33" s="43">
        <f>248339-248339</f>
        <v>0</v>
      </c>
      <c r="W33" s="70">
        <f>SUM(K33:V33)</f>
        <v>1049852</v>
      </c>
      <c r="X33" s="71">
        <f t="shared" si="8"/>
        <v>0</v>
      </c>
    </row>
    <row r="34" spans="1:24" s="4" customFormat="1" ht="24" customHeight="1">
      <c r="A34" s="1"/>
      <c r="B34" s="5"/>
      <c r="C34" s="54" t="s">
        <v>107</v>
      </c>
      <c r="D34" s="32">
        <f t="shared" si="9"/>
        <v>541000</v>
      </c>
      <c r="E34" s="30"/>
      <c r="F34" s="32">
        <f t="shared" si="10"/>
        <v>541000</v>
      </c>
      <c r="G34" s="32">
        <f>291000+250000</f>
        <v>541000</v>
      </c>
      <c r="H34" s="25">
        <f>30000</f>
        <v>30000</v>
      </c>
      <c r="I34" s="46">
        <f t="shared" si="12"/>
        <v>5.545286506469501</v>
      </c>
      <c r="J34" s="52">
        <f t="shared" si="5"/>
        <v>511000</v>
      </c>
      <c r="K34" s="53"/>
      <c r="L34" s="43"/>
      <c r="M34" s="43"/>
      <c r="N34" s="43"/>
      <c r="O34" s="43"/>
      <c r="P34" s="43"/>
      <c r="Q34" s="43"/>
      <c r="R34" s="43">
        <f>250000</f>
        <v>250000</v>
      </c>
      <c r="S34" s="43"/>
      <c r="T34" s="43">
        <v>50000</v>
      </c>
      <c r="U34" s="43">
        <f>241000-36000-398000</f>
        <v>-193000</v>
      </c>
      <c r="V34" s="43">
        <f>36000+398000</f>
        <v>434000</v>
      </c>
      <c r="W34" s="70">
        <f t="shared" si="11"/>
        <v>541000</v>
      </c>
      <c r="X34" s="71">
        <f t="shared" si="8"/>
        <v>0</v>
      </c>
    </row>
    <row r="35" spans="1:24" s="4" customFormat="1" ht="23.25" customHeight="1">
      <c r="A35" s="1"/>
      <c r="B35" s="5"/>
      <c r="C35" s="54" t="s">
        <v>98</v>
      </c>
      <c r="D35" s="32">
        <f>F35</f>
        <v>1385207.88</v>
      </c>
      <c r="E35" s="30"/>
      <c r="F35" s="32">
        <f>G35</f>
        <v>1385207.88</v>
      </c>
      <c r="G35" s="32">
        <f>1500000-109000-5792.12</f>
        <v>1385207.88</v>
      </c>
      <c r="H35" s="25">
        <f>57000+1000000+328207.88</f>
        <v>1385207.88</v>
      </c>
      <c r="I35" s="46">
        <f>H35/D35*100</f>
        <v>100</v>
      </c>
      <c r="J35" s="52">
        <f t="shared" si="5"/>
        <v>0</v>
      </c>
      <c r="K35" s="53"/>
      <c r="L35" s="43"/>
      <c r="M35" s="43"/>
      <c r="N35" s="43"/>
      <c r="O35" s="43"/>
      <c r="P35" s="43">
        <f>1500000-500000</f>
        <v>1000000</v>
      </c>
      <c r="Q35" s="43">
        <f>500000</f>
        <v>500000</v>
      </c>
      <c r="R35" s="43">
        <v>-109000</v>
      </c>
      <c r="S35" s="43"/>
      <c r="T35" s="43">
        <f>1500000-1500000</f>
        <v>0</v>
      </c>
      <c r="U35" s="43">
        <v>-5792.12</v>
      </c>
      <c r="V35" s="43"/>
      <c r="W35" s="70">
        <f>SUM(K35:V35)</f>
        <v>1385207.88</v>
      </c>
      <c r="X35" s="71">
        <f t="shared" si="8"/>
        <v>0</v>
      </c>
    </row>
    <row r="36" spans="1:24" s="4" customFormat="1" ht="21" customHeight="1">
      <c r="A36" s="1"/>
      <c r="B36" s="5"/>
      <c r="C36" s="54" t="s">
        <v>58</v>
      </c>
      <c r="D36" s="32">
        <f t="shared" si="9"/>
        <v>14500000</v>
      </c>
      <c r="E36" s="30"/>
      <c r="F36" s="32">
        <f t="shared" si="10"/>
        <v>14500000</v>
      </c>
      <c r="G36" s="32">
        <f>7000000+5000000+2500000</f>
        <v>14500000</v>
      </c>
      <c r="H36" s="25">
        <f>146000+118000+3301936+3041280.8+4900000+48434.87+19985.71</f>
        <v>11575637.38</v>
      </c>
      <c r="I36" s="46">
        <f t="shared" si="12"/>
        <v>79.83198193103449</v>
      </c>
      <c r="J36" s="52">
        <f t="shared" si="5"/>
        <v>2924362.619999999</v>
      </c>
      <c r="K36" s="43"/>
      <c r="L36" s="43"/>
      <c r="M36" s="43"/>
      <c r="N36" s="43">
        <v>500000</v>
      </c>
      <c r="O36" s="43"/>
      <c r="P36" s="43">
        <v>-236000</v>
      </c>
      <c r="Q36" s="43">
        <f>4000000-1200000-720000</f>
        <v>2080000</v>
      </c>
      <c r="R36" s="43">
        <f>236000+1100000+720000</f>
        <v>2056000</v>
      </c>
      <c r="S36" s="43">
        <f>100000-934000+3434000</f>
        <v>2600000</v>
      </c>
      <c r="T36" s="43">
        <f>2500000+934000-3434000</f>
        <v>0</v>
      </c>
      <c r="U36" s="43">
        <f>5000000+2500000</f>
        <v>7500000</v>
      </c>
      <c r="V36" s="43"/>
      <c r="W36" s="70">
        <f t="shared" si="11"/>
        <v>14500000</v>
      </c>
      <c r="X36" s="71">
        <f t="shared" si="8"/>
        <v>0</v>
      </c>
    </row>
    <row r="37" spans="1:24" s="4" customFormat="1" ht="23.25" customHeight="1">
      <c r="A37" s="1"/>
      <c r="B37" s="5"/>
      <c r="C37" s="54" t="s">
        <v>59</v>
      </c>
      <c r="D37" s="32">
        <f t="shared" si="9"/>
        <v>33552000</v>
      </c>
      <c r="E37" s="30"/>
      <c r="F37" s="32">
        <f t="shared" si="10"/>
        <v>33552000</v>
      </c>
      <c r="G37" s="32">
        <f>23000000+6600000+3952000</f>
        <v>33552000</v>
      </c>
      <c r="H37" s="25">
        <f>250000+350000+11000000+385798+506503.4+2540985.6+1579928.6+21155+3388311.6+2673656.8+17847+3371000+1497174.73+1120305.05+472936.2+8577+4960</f>
        <v>29189138.98</v>
      </c>
      <c r="I37" s="46">
        <f t="shared" si="12"/>
        <v>86.99671846685742</v>
      </c>
      <c r="J37" s="52">
        <f t="shared" si="5"/>
        <v>4362861.02</v>
      </c>
      <c r="K37" s="53"/>
      <c r="L37" s="43"/>
      <c r="M37" s="43"/>
      <c r="N37" s="43">
        <f>500000+100000</f>
        <v>600000</v>
      </c>
      <c r="O37" s="43"/>
      <c r="P37" s="43"/>
      <c r="Q37" s="43">
        <v>11080000</v>
      </c>
      <c r="R37" s="43">
        <f>820000+2535000</f>
        <v>3355000</v>
      </c>
      <c r="S37" s="43">
        <f>1600000+3400000+2800000+3300000</f>
        <v>11100000</v>
      </c>
      <c r="T37" s="43">
        <f>152379.64+3774249.93-1600000-2300000+3300000-3264000+1500000+920000</f>
        <v>2482629.5700000003</v>
      </c>
      <c r="U37" s="43">
        <f>4520370.43-2262410-330000</f>
        <v>1927960.4299999997</v>
      </c>
      <c r="V37" s="43">
        <f>414000+2262410+330000</f>
        <v>3006410</v>
      </c>
      <c r="W37" s="70">
        <f>SUM(K37:V37)</f>
        <v>33552000</v>
      </c>
      <c r="X37" s="71">
        <f t="shared" si="8"/>
        <v>0</v>
      </c>
    </row>
    <row r="38" spans="1:24" s="4" customFormat="1" ht="22.5" customHeight="1">
      <c r="A38" s="1"/>
      <c r="B38" s="5"/>
      <c r="C38" s="54" t="s">
        <v>60</v>
      </c>
      <c r="D38" s="32">
        <f t="shared" si="9"/>
        <v>1631600</v>
      </c>
      <c r="E38" s="30"/>
      <c r="F38" s="32">
        <f t="shared" si="10"/>
        <v>1631600</v>
      </c>
      <c r="G38" s="32">
        <f>1281600+185000+165000</f>
        <v>1631600</v>
      </c>
      <c r="H38" s="25">
        <f>80000+35000+1000000+325951.13+22635+149401.19</f>
        <v>1612987.3199999998</v>
      </c>
      <c r="I38" s="46">
        <f t="shared" si="12"/>
        <v>98.85923755822505</v>
      </c>
      <c r="J38" s="52">
        <f t="shared" si="5"/>
        <v>18612.680000000168</v>
      </c>
      <c r="K38" s="53"/>
      <c r="L38" s="43"/>
      <c r="M38" s="43">
        <v>100000</v>
      </c>
      <c r="N38" s="43">
        <v>681600</v>
      </c>
      <c r="O38" s="43">
        <v>500000</v>
      </c>
      <c r="P38" s="43">
        <f>-600000</f>
        <v>-600000</v>
      </c>
      <c r="Q38" s="43"/>
      <c r="R38" s="43">
        <f>600000+20000</f>
        <v>620000</v>
      </c>
      <c r="S38" s="43"/>
      <c r="T38" s="43">
        <f>50000-20000</f>
        <v>30000</v>
      </c>
      <c r="U38" s="43">
        <f>135000</f>
        <v>135000</v>
      </c>
      <c r="V38" s="43">
        <v>165000</v>
      </c>
      <c r="W38" s="70">
        <f t="shared" si="11"/>
        <v>1631600</v>
      </c>
      <c r="X38" s="71">
        <f t="shared" si="8"/>
        <v>0</v>
      </c>
    </row>
    <row r="39" spans="1:24" s="4" customFormat="1" ht="22.5" customHeight="1">
      <c r="A39" s="1"/>
      <c r="B39" s="5"/>
      <c r="C39" s="24" t="s">
        <v>96</v>
      </c>
      <c r="D39" s="32">
        <f t="shared" si="9"/>
        <v>53797849.97</v>
      </c>
      <c r="E39" s="30"/>
      <c r="F39" s="32">
        <f t="shared" si="10"/>
        <v>53797849.97</v>
      </c>
      <c r="G39" s="32">
        <f>7000000+11550000+3335040+27388557+1700000+4178000-3988000-120000+2754252.97</f>
        <v>53797849.97</v>
      </c>
      <c r="H39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+448972.8+26000+168853+413572.59+406767+1049296+628204.18+2000+508685+207470.03+98309.24+451628.88+16239.05+1398000.74+2162407+657359+432535+262180.86+650000+94862+1900000+1656+2162407.4+334123.61+498.17+129271.82+9958+9540+914555.78+53754</f>
        <v>48333732.92000001</v>
      </c>
      <c r="I39" s="46">
        <f t="shared" si="12"/>
        <v>89.84324270756728</v>
      </c>
      <c r="J39" s="52">
        <f t="shared" si="5"/>
        <v>5464117.04999999</v>
      </c>
      <c r="K39" s="53"/>
      <c r="L39" s="43"/>
      <c r="M39" s="43"/>
      <c r="N39" s="43">
        <v>3690333</v>
      </c>
      <c r="O39" s="43">
        <f>3309667+2921513</f>
        <v>6231180</v>
      </c>
      <c r="P39" s="43">
        <v>8519000</v>
      </c>
      <c r="Q39" s="43">
        <f>2700000-1677900-660000+1963660</f>
        <v>2325760</v>
      </c>
      <c r="R39" s="43">
        <f>1177427-58660+16000000-2535000</f>
        <v>14583767</v>
      </c>
      <c r="S39" s="43">
        <f>833334-833334+973488.25+100000-1073488.25+4888557-318500</f>
        <v>4570057</v>
      </c>
      <c r="T39" s="43">
        <f>692000-57666-634334+701511.75-701511.75+2500000-1.25+318500-250000-248339-250000-1500000-1800000+3000000</f>
        <v>1770159.75</v>
      </c>
      <c r="U39" s="43">
        <f>3039001.25+2162410+330000</f>
        <v>5531411.25</v>
      </c>
      <c r="V39" s="43">
        <f>6434339-2162410-330000-120000+2754252.97</f>
        <v>6576181.970000001</v>
      </c>
      <c r="W39" s="70">
        <f t="shared" si="11"/>
        <v>53797849.97</v>
      </c>
      <c r="X39" s="71">
        <f t="shared" si="8"/>
        <v>0</v>
      </c>
    </row>
    <row r="40" spans="1:24" s="4" customFormat="1" ht="23.25" customHeight="1">
      <c r="A40" s="1"/>
      <c r="B40" s="5"/>
      <c r="C40" s="54" t="s">
        <v>61</v>
      </c>
      <c r="D40" s="32">
        <f t="shared" si="9"/>
        <v>6260000</v>
      </c>
      <c r="E40" s="30"/>
      <c r="F40" s="32">
        <f t="shared" si="10"/>
        <v>6260000</v>
      </c>
      <c r="G40" s="32">
        <f>5000000+700000+560000</f>
        <v>6260000</v>
      </c>
      <c r="H40" s="25">
        <f>108000+2394100+780000+290000+1323887.29+497400</f>
        <v>5393387.29</v>
      </c>
      <c r="I40" s="46">
        <f t="shared" si="12"/>
        <v>86.156346485623</v>
      </c>
      <c r="J40" s="52">
        <f t="shared" si="5"/>
        <v>866612.71</v>
      </c>
      <c r="K40" s="53"/>
      <c r="L40" s="43"/>
      <c r="M40" s="43"/>
      <c r="N40" s="43">
        <v>2000000</v>
      </c>
      <c r="O40" s="43">
        <v>2000000</v>
      </c>
      <c r="P40" s="43">
        <f>-427900</f>
        <v>-427900</v>
      </c>
      <c r="Q40" s="43">
        <f>927900</f>
        <v>927900</v>
      </c>
      <c r="R40" s="43"/>
      <c r="S40" s="43">
        <v>-666000</v>
      </c>
      <c r="T40" s="43">
        <v>666000</v>
      </c>
      <c r="U40" s="43">
        <f>700000-340000+36000+398000+100000</f>
        <v>894000</v>
      </c>
      <c r="V40" s="43">
        <f>500000+340000-36000-398000-100000+560000</f>
        <v>866000</v>
      </c>
      <c r="W40" s="70">
        <f t="shared" si="11"/>
        <v>6260000</v>
      </c>
      <c r="X40" s="71">
        <f t="shared" si="8"/>
        <v>0</v>
      </c>
    </row>
    <row r="41" spans="1:24" s="4" customFormat="1" ht="23.25" customHeight="1">
      <c r="A41" s="1"/>
      <c r="B41" s="5"/>
      <c r="C41" s="54" t="s">
        <v>62</v>
      </c>
      <c r="D41" s="32">
        <f t="shared" si="9"/>
        <v>6780000</v>
      </c>
      <c r="E41" s="30"/>
      <c r="F41" s="32">
        <f t="shared" si="10"/>
        <v>6780000</v>
      </c>
      <c r="G41" s="32">
        <f>5000000+1380000+400000</f>
        <v>6780000</v>
      </c>
      <c r="H41" s="25">
        <f>173000+900000+31000+900000+32000+1100000+32000+500000+21466.9+43601.11+16760.29+377319.01+6388+22832.54+435000+113000+182961.76+3249+314086.57+5554+460000</f>
        <v>5670219.18</v>
      </c>
      <c r="I41" s="46">
        <f t="shared" si="12"/>
        <v>83.63155132743363</v>
      </c>
      <c r="J41" s="52">
        <f t="shared" si="5"/>
        <v>1109780.8200000003</v>
      </c>
      <c r="K41" s="53"/>
      <c r="L41" s="43"/>
      <c r="M41" s="43">
        <v>400000</v>
      </c>
      <c r="N41" s="43">
        <v>2600000</v>
      </c>
      <c r="O41" s="43">
        <v>1000000</v>
      </c>
      <c r="P41" s="43">
        <f>-332000</f>
        <v>-332000</v>
      </c>
      <c r="Q41" s="43">
        <f>72100+377900</f>
        <v>450000</v>
      </c>
      <c r="R41" s="43">
        <f>882000+1000000</f>
        <v>1882000</v>
      </c>
      <c r="S41" s="43">
        <f>380000</f>
        <v>380000</v>
      </c>
      <c r="T41" s="43">
        <v>-920000</v>
      </c>
      <c r="U41" s="43">
        <v>-10000</v>
      </c>
      <c r="V41" s="43">
        <f>920000+10000+400000</f>
        <v>1330000</v>
      </c>
      <c r="W41" s="70">
        <f>SUM(K41:V41)</f>
        <v>6780000</v>
      </c>
      <c r="X41" s="71">
        <f t="shared" si="8"/>
        <v>0</v>
      </c>
    </row>
    <row r="42" spans="1:24" s="4" customFormat="1" ht="42" customHeight="1">
      <c r="A42" s="1"/>
      <c r="B42" s="5"/>
      <c r="C42" s="54" t="s">
        <v>63</v>
      </c>
      <c r="D42" s="32">
        <f t="shared" si="9"/>
        <v>1595595.28</v>
      </c>
      <c r="E42" s="30"/>
      <c r="F42" s="32">
        <f t="shared" si="10"/>
        <v>1595595.28</v>
      </c>
      <c r="G42" s="32">
        <f>1750000-150000-4404.72</f>
        <v>1595595.28</v>
      </c>
      <c r="H42" s="32">
        <f>38000+1037000+39019.23+5025+322679.57</f>
        <v>1441723.8</v>
      </c>
      <c r="I42" s="46">
        <f t="shared" si="12"/>
        <v>90.35648438368406</v>
      </c>
      <c r="J42" s="52">
        <f t="shared" si="5"/>
        <v>153871.47999999998</v>
      </c>
      <c r="K42" s="53"/>
      <c r="L42" s="43"/>
      <c r="M42" s="43"/>
      <c r="N42" s="43">
        <f>1200000-100000</f>
        <v>1100000</v>
      </c>
      <c r="O42" s="43">
        <f>550000+100000</f>
        <v>650000</v>
      </c>
      <c r="P42" s="43">
        <f>-675000</f>
        <v>-675000</v>
      </c>
      <c r="Q42" s="43"/>
      <c r="R42" s="43">
        <f>675000-150000</f>
        <v>525000</v>
      </c>
      <c r="S42" s="43"/>
      <c r="T42" s="43"/>
      <c r="U42" s="43">
        <v>-4404.72</v>
      </c>
      <c r="V42" s="43"/>
      <c r="W42" s="70">
        <f t="shared" si="11"/>
        <v>1595595.28</v>
      </c>
      <c r="X42" s="71">
        <f t="shared" si="8"/>
        <v>0</v>
      </c>
    </row>
    <row r="43" spans="1:24" s="4" customFormat="1" ht="18.75">
      <c r="A43" s="1"/>
      <c r="B43" s="5"/>
      <c r="C43" s="54" t="s">
        <v>101</v>
      </c>
      <c r="D43" s="32">
        <f t="shared" si="9"/>
        <v>199760</v>
      </c>
      <c r="E43" s="30"/>
      <c r="F43" s="32">
        <f t="shared" si="10"/>
        <v>199760</v>
      </c>
      <c r="G43" s="32">
        <f>89760+110000</f>
        <v>199760</v>
      </c>
      <c r="H43" s="25">
        <f>30000+1231.2</f>
        <v>31231.2</v>
      </c>
      <c r="I43" s="46">
        <f t="shared" si="12"/>
        <v>15.634361233480176</v>
      </c>
      <c r="J43" s="52">
        <f t="shared" si="5"/>
        <v>168528.8</v>
      </c>
      <c r="K43" s="53"/>
      <c r="L43" s="43"/>
      <c r="M43" s="43"/>
      <c r="N43" s="43"/>
      <c r="O43" s="43"/>
      <c r="P43" s="43"/>
      <c r="Q43" s="53"/>
      <c r="R43" s="53"/>
      <c r="S43" s="53">
        <v>89760</v>
      </c>
      <c r="T43" s="53"/>
      <c r="U43" s="53">
        <v>110000</v>
      </c>
      <c r="V43" s="53"/>
      <c r="W43" s="70">
        <f t="shared" si="11"/>
        <v>199760</v>
      </c>
      <c r="X43" s="71">
        <f t="shared" si="8"/>
        <v>0</v>
      </c>
    </row>
    <row r="44" spans="1:24" s="4" customFormat="1" ht="18.75">
      <c r="A44" s="1"/>
      <c r="B44" s="5"/>
      <c r="C44" s="78" t="s">
        <v>118</v>
      </c>
      <c r="D44" s="32">
        <f t="shared" si="9"/>
        <v>100000</v>
      </c>
      <c r="E44" s="30"/>
      <c r="F44" s="32">
        <f t="shared" si="10"/>
        <v>100000</v>
      </c>
      <c r="G44" s="32">
        <v>100000</v>
      </c>
      <c r="H44" s="25"/>
      <c r="I44" s="46"/>
      <c r="J44" s="52">
        <f t="shared" si="5"/>
        <v>100000</v>
      </c>
      <c r="K44" s="53"/>
      <c r="L44" s="43"/>
      <c r="M44" s="43"/>
      <c r="N44" s="43"/>
      <c r="O44" s="43"/>
      <c r="P44" s="43"/>
      <c r="Q44" s="53"/>
      <c r="R44" s="53"/>
      <c r="S44" s="53"/>
      <c r="T44" s="53"/>
      <c r="U44" s="53"/>
      <c r="V44" s="53">
        <v>100000</v>
      </c>
      <c r="W44" s="70">
        <f t="shared" si="11"/>
        <v>100000</v>
      </c>
      <c r="X44" s="71">
        <f t="shared" si="8"/>
        <v>0</v>
      </c>
    </row>
    <row r="45" spans="1:24" s="4" customFormat="1" ht="18.75">
      <c r="A45" s="1"/>
      <c r="B45" s="5"/>
      <c r="C45" s="78" t="s">
        <v>119</v>
      </c>
      <c r="D45" s="32">
        <f t="shared" si="9"/>
        <v>200000</v>
      </c>
      <c r="E45" s="30"/>
      <c r="F45" s="32">
        <f t="shared" si="10"/>
        <v>200000</v>
      </c>
      <c r="G45" s="32">
        <v>200000</v>
      </c>
      <c r="H45" s="25"/>
      <c r="I45" s="46"/>
      <c r="J45" s="52">
        <f t="shared" si="5"/>
        <v>200000</v>
      </c>
      <c r="K45" s="53"/>
      <c r="L45" s="43"/>
      <c r="M45" s="43"/>
      <c r="N45" s="43"/>
      <c r="O45" s="43"/>
      <c r="P45" s="43"/>
      <c r="Q45" s="53"/>
      <c r="R45" s="53"/>
      <c r="S45" s="53"/>
      <c r="T45" s="53"/>
      <c r="U45" s="53"/>
      <c r="V45" s="53">
        <v>200000</v>
      </c>
      <c r="W45" s="70">
        <f t="shared" si="11"/>
        <v>200000</v>
      </c>
      <c r="X45" s="71">
        <f t="shared" si="8"/>
        <v>0</v>
      </c>
    </row>
    <row r="46" spans="1:24" s="4" customFormat="1" ht="18.75">
      <c r="A46" s="1"/>
      <c r="B46" s="5"/>
      <c r="C46" s="54" t="s">
        <v>111</v>
      </c>
      <c r="D46" s="32">
        <f t="shared" si="9"/>
        <v>150000</v>
      </c>
      <c r="E46" s="30"/>
      <c r="F46" s="32">
        <f t="shared" si="10"/>
        <v>150000</v>
      </c>
      <c r="G46" s="32">
        <f>150000</f>
        <v>150000</v>
      </c>
      <c r="H46" s="25"/>
      <c r="I46" s="46"/>
      <c r="J46" s="52">
        <f t="shared" si="5"/>
        <v>150000</v>
      </c>
      <c r="K46" s="53"/>
      <c r="L46" s="43"/>
      <c r="M46" s="43"/>
      <c r="N46" s="43"/>
      <c r="O46" s="43"/>
      <c r="P46" s="43"/>
      <c r="Q46" s="53"/>
      <c r="R46" s="53"/>
      <c r="S46" s="53"/>
      <c r="T46" s="53"/>
      <c r="U46" s="53"/>
      <c r="V46" s="53">
        <v>150000</v>
      </c>
      <c r="W46" s="70">
        <f t="shared" si="11"/>
        <v>150000</v>
      </c>
      <c r="X46" s="71">
        <f t="shared" si="8"/>
        <v>0</v>
      </c>
    </row>
    <row r="47" spans="1:24" s="4" customFormat="1" ht="18.75">
      <c r="A47" s="1"/>
      <c r="B47" s="5"/>
      <c r="C47" s="54" t="s">
        <v>112</v>
      </c>
      <c r="D47" s="32">
        <f t="shared" si="9"/>
        <v>150000</v>
      </c>
      <c r="E47" s="30"/>
      <c r="F47" s="32">
        <f t="shared" si="10"/>
        <v>150000</v>
      </c>
      <c r="G47" s="32">
        <v>150000</v>
      </c>
      <c r="H47" s="25"/>
      <c r="I47" s="46"/>
      <c r="J47" s="52">
        <f t="shared" si="5"/>
        <v>150000</v>
      </c>
      <c r="K47" s="53"/>
      <c r="L47" s="43"/>
      <c r="M47" s="43"/>
      <c r="N47" s="43"/>
      <c r="O47" s="43"/>
      <c r="P47" s="43"/>
      <c r="Q47" s="53"/>
      <c r="R47" s="53"/>
      <c r="S47" s="53"/>
      <c r="T47" s="53"/>
      <c r="U47" s="53"/>
      <c r="V47" s="53">
        <v>150000</v>
      </c>
      <c r="W47" s="70">
        <f t="shared" si="11"/>
        <v>150000</v>
      </c>
      <c r="X47" s="71">
        <f t="shared" si="8"/>
        <v>0</v>
      </c>
    </row>
    <row r="48" spans="1:24" s="4" customFormat="1" ht="18.75">
      <c r="A48" s="1"/>
      <c r="B48" s="5"/>
      <c r="C48" s="54" t="s">
        <v>113</v>
      </c>
      <c r="D48" s="32">
        <f t="shared" si="9"/>
        <v>150000</v>
      </c>
      <c r="E48" s="30"/>
      <c r="F48" s="32">
        <f t="shared" si="10"/>
        <v>150000</v>
      </c>
      <c r="G48" s="32">
        <v>150000</v>
      </c>
      <c r="H48" s="25"/>
      <c r="I48" s="46"/>
      <c r="J48" s="52">
        <f t="shared" si="5"/>
        <v>150000</v>
      </c>
      <c r="K48" s="53"/>
      <c r="L48" s="43"/>
      <c r="M48" s="43"/>
      <c r="N48" s="43"/>
      <c r="O48" s="43"/>
      <c r="P48" s="43"/>
      <c r="Q48" s="53"/>
      <c r="R48" s="53"/>
      <c r="S48" s="53"/>
      <c r="T48" s="53"/>
      <c r="U48" s="53"/>
      <c r="V48" s="53">
        <v>150000</v>
      </c>
      <c r="W48" s="70">
        <f t="shared" si="11"/>
        <v>150000</v>
      </c>
      <c r="X48" s="71">
        <f t="shared" si="8"/>
        <v>0</v>
      </c>
    </row>
    <row r="49" spans="1:24" s="4" customFormat="1" ht="24" customHeight="1">
      <c r="A49" s="1"/>
      <c r="B49" s="5"/>
      <c r="C49" s="72" t="s">
        <v>38</v>
      </c>
      <c r="D49" s="25">
        <f>F49</f>
        <v>7700000</v>
      </c>
      <c r="E49" s="27"/>
      <c r="F49" s="32">
        <f t="shared" si="10"/>
        <v>7700000</v>
      </c>
      <c r="G49" s="43">
        <f>6700000+1000000</f>
        <v>7700000</v>
      </c>
      <c r="H49" s="25">
        <f>3263175+1196936+1083633.68+1062941-1383336+29005.67+48813+823.18+991255.88+392428+7048</f>
        <v>6692723.409999999</v>
      </c>
      <c r="I49" s="46">
        <f>H49/D49*100</f>
        <v>86.91848584415584</v>
      </c>
      <c r="J49" s="52">
        <f t="shared" si="5"/>
        <v>1007276.5900000008</v>
      </c>
      <c r="K49" s="59"/>
      <c r="L49" s="43"/>
      <c r="M49" s="43">
        <v>4000000</v>
      </c>
      <c r="N49" s="43">
        <v>2700000</v>
      </c>
      <c r="O49" s="43"/>
      <c r="P49" s="43"/>
      <c r="Q49" s="59"/>
      <c r="R49" s="59">
        <f>1000000</f>
        <v>1000000</v>
      </c>
      <c r="S49" s="60">
        <v>-28220.75</v>
      </c>
      <c r="T49" s="60"/>
      <c r="U49" s="60">
        <v>28220.75</v>
      </c>
      <c r="V49" s="59"/>
      <c r="W49" s="70">
        <f t="shared" si="11"/>
        <v>7700000</v>
      </c>
      <c r="X49" s="71">
        <f t="shared" si="8"/>
        <v>0</v>
      </c>
    </row>
    <row r="50" spans="1:24" s="4" customFormat="1" ht="22.5" customHeight="1">
      <c r="A50" s="1"/>
      <c r="B50" s="5"/>
      <c r="C50" s="72" t="s">
        <v>39</v>
      </c>
      <c r="D50" s="25">
        <f>F50</f>
        <v>145755</v>
      </c>
      <c r="E50" s="27"/>
      <c r="F50" s="25">
        <f>G50</f>
        <v>145755</v>
      </c>
      <c r="G50" s="43">
        <f>10000000-5000000-4854245</f>
        <v>145755</v>
      </c>
      <c r="H50" s="25">
        <f>43726+73807+28222</f>
        <v>145755</v>
      </c>
      <c r="I50" s="46">
        <f>H50/D50*100</f>
        <v>100</v>
      </c>
      <c r="J50" s="52">
        <f t="shared" si="5"/>
        <v>0</v>
      </c>
      <c r="K50" s="60"/>
      <c r="L50" s="43"/>
      <c r="M50" s="43">
        <v>500000</v>
      </c>
      <c r="N50" s="43">
        <f>4500000-4600000</f>
        <v>-100000</v>
      </c>
      <c r="O50" s="43">
        <f>3000000-634334</f>
        <v>2365666</v>
      </c>
      <c r="P50" s="43">
        <f>2000000-2000000-148000-2500000</f>
        <v>-2648000</v>
      </c>
      <c r="Q50" s="60">
        <f>4300000-2700000-721000-879133</f>
        <v>-133</v>
      </c>
      <c r="R50" s="60">
        <f>2300000-2300000+869000+1000000-1000000-869000</f>
        <v>0</v>
      </c>
      <c r="S50" s="60">
        <f>7621.25+1000000-1007620+28220.75</f>
        <v>28222</v>
      </c>
      <c r="T50" s="60">
        <f>634334+1500000+701511.75-2835845.75</f>
        <v>0</v>
      </c>
      <c r="U50" s="60">
        <f>170000-141779.25-28220.75</f>
        <v>0</v>
      </c>
      <c r="V50" s="60"/>
      <c r="W50" s="70">
        <f>SUM(K50:V50)</f>
        <v>145755</v>
      </c>
      <c r="X50" s="71">
        <f t="shared" si="8"/>
        <v>0</v>
      </c>
    </row>
    <row r="51" spans="1:24" s="4" customFormat="1" ht="22.5" customHeight="1">
      <c r="A51" s="1"/>
      <c r="B51" s="73"/>
      <c r="C51" s="72" t="s">
        <v>115</v>
      </c>
      <c r="D51" s="25">
        <f>F51</f>
        <v>288525.82</v>
      </c>
      <c r="E51" s="27"/>
      <c r="F51" s="25">
        <f>G51</f>
        <v>288525.82</v>
      </c>
      <c r="G51" s="43">
        <v>288525.82</v>
      </c>
      <c r="H51" s="25"/>
      <c r="I51" s="46"/>
      <c r="J51" s="52">
        <f t="shared" si="5"/>
        <v>288525.82</v>
      </c>
      <c r="K51" s="59"/>
      <c r="L51" s="53"/>
      <c r="M51" s="53"/>
      <c r="N51" s="53"/>
      <c r="O51" s="53"/>
      <c r="P51" s="53"/>
      <c r="Q51" s="59"/>
      <c r="R51" s="60"/>
      <c r="S51" s="60"/>
      <c r="T51" s="60"/>
      <c r="U51" s="60">
        <v>38525.82</v>
      </c>
      <c r="V51" s="60">
        <v>250000</v>
      </c>
      <c r="W51" s="70">
        <f>SUM(K51:V51)</f>
        <v>288525.82</v>
      </c>
      <c r="X51" s="71">
        <f t="shared" si="8"/>
        <v>0</v>
      </c>
    </row>
    <row r="52" spans="1:24" s="4" customFormat="1" ht="22.5" customHeight="1">
      <c r="A52" s="1"/>
      <c r="B52" s="73"/>
      <c r="C52" s="54" t="s">
        <v>64</v>
      </c>
      <c r="D52" s="25">
        <f>F52</f>
        <v>256188.7999999998</v>
      </c>
      <c r="E52" s="27"/>
      <c r="F52" s="25">
        <f>G52</f>
        <v>256188.7999999998</v>
      </c>
      <c r="G52" s="43">
        <f>7000000-6743811.2</f>
        <v>256188.7999999998</v>
      </c>
      <c r="H52" s="25">
        <f>73140+183048.8</f>
        <v>256188.8</v>
      </c>
      <c r="I52" s="46">
        <f>H52/D52*100</f>
        <v>100.00000000000007</v>
      </c>
      <c r="J52" s="52">
        <f t="shared" si="5"/>
        <v>0</v>
      </c>
      <c r="K52" s="59"/>
      <c r="L52" s="59"/>
      <c r="M52" s="59"/>
      <c r="N52" s="59">
        <f>755868.99-512000</f>
        <v>243868.99</v>
      </c>
      <c r="O52" s="59">
        <f>1600000+2244131.01-2087000-1100000</f>
        <v>657131.0099999998</v>
      </c>
      <c r="P52" s="59">
        <f>-827666</f>
        <v>-827666</v>
      </c>
      <c r="Q52" s="59">
        <f>400000+512000+201333+375000-1304527</f>
        <v>183806</v>
      </c>
      <c r="R52" s="60">
        <f>733333+150000+2138167+238660-3261111.2</f>
        <v>-951.2000000001863</v>
      </c>
      <c r="S52" s="60">
        <f>833334+200000+80000+1065867-2179201</f>
        <v>0</v>
      </c>
      <c r="T52" s="60">
        <f>57666+34088.25-91754.25</f>
        <v>0</v>
      </c>
      <c r="U52" s="60">
        <f>1211744.75-1211744.75</f>
        <v>0</v>
      </c>
      <c r="V52" s="60"/>
      <c r="W52" s="70">
        <f t="shared" si="11"/>
        <v>256188.79999999958</v>
      </c>
      <c r="X52" s="71">
        <f t="shared" si="8"/>
        <v>2.3283064365386963E-10</v>
      </c>
    </row>
    <row r="53" spans="1:24" s="16" customFormat="1" ht="24" customHeight="1">
      <c r="A53" s="81" t="s">
        <v>28</v>
      </c>
      <c r="B53" s="82"/>
      <c r="C53" s="82"/>
      <c r="D53" s="82"/>
      <c r="E53" s="82"/>
      <c r="F53" s="82"/>
      <c r="G53" s="82"/>
      <c r="H53" s="82"/>
      <c r="I53" s="82"/>
      <c r="J53" s="52"/>
      <c r="W53" s="65"/>
      <c r="X53" s="66"/>
    </row>
    <row r="54" spans="1:24" s="16" customFormat="1" ht="39.75" customHeight="1">
      <c r="A54" s="17">
        <v>2</v>
      </c>
      <c r="B54" s="18"/>
      <c r="C54" s="19" t="s">
        <v>16</v>
      </c>
      <c r="D54" s="20">
        <f>D55</f>
        <v>127668241.2</v>
      </c>
      <c r="E54" s="20"/>
      <c r="F54" s="20">
        <f>F55</f>
        <v>127668241.2</v>
      </c>
      <c r="G54" s="20">
        <f>G55</f>
        <v>127668241.2</v>
      </c>
      <c r="H54" s="20">
        <f>H55</f>
        <v>86259034.60000001</v>
      </c>
      <c r="I54" s="64">
        <f>H54/D54*100</f>
        <v>67.5649901566906</v>
      </c>
      <c r="J54" s="52">
        <f aca="true" t="shared" si="13" ref="J54:J102">D54-H54</f>
        <v>41409206.599999994</v>
      </c>
      <c r="W54" s="65"/>
      <c r="X54" s="66"/>
    </row>
    <row r="55" spans="1:24" s="16" customFormat="1" ht="19.5" customHeight="1">
      <c r="A55" s="1"/>
      <c r="B55" s="29" t="s">
        <v>29</v>
      </c>
      <c r="C55" s="29" t="s">
        <v>29</v>
      </c>
      <c r="D55" s="30">
        <f>SUM(D56:D99)</f>
        <v>127668241.2</v>
      </c>
      <c r="E55" s="30"/>
      <c r="F55" s="30">
        <f>SUM(F56:F99)</f>
        <v>127668241.2</v>
      </c>
      <c r="G55" s="30">
        <f>SUM(G56:G99)</f>
        <v>127668241.2</v>
      </c>
      <c r="H55" s="30">
        <f>SUM(H56:H99)</f>
        <v>86259034.60000001</v>
      </c>
      <c r="I55" s="48">
        <f>H55/D55*100</f>
        <v>67.5649901566906</v>
      </c>
      <c r="J55" s="52">
        <f t="shared" si="13"/>
        <v>41409206.599999994</v>
      </c>
      <c r="K55" s="61">
        <f>SUM(K56:K99)</f>
        <v>0</v>
      </c>
      <c r="L55" s="61">
        <f aca="true" t="shared" si="14" ref="L55:V55">SUM(L56:L99)</f>
        <v>2416000</v>
      </c>
      <c r="M55" s="61">
        <f t="shared" si="14"/>
        <v>3584000</v>
      </c>
      <c r="N55" s="61">
        <f t="shared" si="14"/>
        <v>590500</v>
      </c>
      <c r="O55" s="61">
        <f t="shared" si="14"/>
        <v>7038995.17</v>
      </c>
      <c r="P55" s="61">
        <f t="shared" si="14"/>
        <v>13765230</v>
      </c>
      <c r="Q55" s="61">
        <f t="shared" si="14"/>
        <v>10424146</v>
      </c>
      <c r="R55" s="61">
        <f t="shared" si="14"/>
        <v>18643470.259999998</v>
      </c>
      <c r="S55" s="61">
        <f>SUM(S56:S99)</f>
        <v>19048382.61</v>
      </c>
      <c r="T55" s="61">
        <f t="shared" si="14"/>
        <v>25254393.09</v>
      </c>
      <c r="U55" s="61">
        <f t="shared" si="14"/>
        <v>14504008.239999998</v>
      </c>
      <c r="V55" s="61">
        <f t="shared" si="14"/>
        <v>12399115.829999998</v>
      </c>
      <c r="W55" s="61">
        <f>SUM(W56:W99)</f>
        <v>127668241.2</v>
      </c>
      <c r="X55" s="66">
        <f aca="true" t="shared" si="15" ref="X55:X102">D55-W55</f>
        <v>0</v>
      </c>
    </row>
    <row r="56" spans="1:24" s="74" customFormat="1" ht="40.5" customHeight="1">
      <c r="A56" s="1"/>
      <c r="B56" s="29"/>
      <c r="C56" s="31" t="s">
        <v>30</v>
      </c>
      <c r="D56" s="32">
        <f aca="true" t="shared" si="16" ref="D56:D88">F56</f>
        <v>768000</v>
      </c>
      <c r="E56" s="30"/>
      <c r="F56" s="25">
        <f aca="true" t="shared" si="17" ref="F56:F99">G56</f>
        <v>768000</v>
      </c>
      <c r="G56" s="32">
        <f>192000+576000</f>
        <v>768000</v>
      </c>
      <c r="H56" s="25">
        <f>81260+1427.14+45242+45091.14+234240.07+85847.68+4174.27+129963.42</f>
        <v>627245.72</v>
      </c>
      <c r="I56" s="46">
        <f>H56/D56*100</f>
        <v>81.67261979166666</v>
      </c>
      <c r="J56" s="52">
        <f t="shared" si="13"/>
        <v>140754.28000000003</v>
      </c>
      <c r="K56" s="59"/>
      <c r="L56" s="59">
        <v>92000</v>
      </c>
      <c r="M56" s="59">
        <v>100000</v>
      </c>
      <c r="N56" s="59">
        <v>300000</v>
      </c>
      <c r="O56" s="59">
        <f>276000-360739.65</f>
        <v>-84739.65000000002</v>
      </c>
      <c r="P56" s="59"/>
      <c r="Q56" s="59">
        <f>86000</f>
        <v>86000</v>
      </c>
      <c r="R56" s="59">
        <v>134173</v>
      </c>
      <c r="S56" s="60"/>
      <c r="T56" s="59"/>
      <c r="U56" s="59"/>
      <c r="V56" s="59">
        <v>140566.65</v>
      </c>
      <c r="W56" s="59">
        <f>SUM(K56:V56)</f>
        <v>768000</v>
      </c>
      <c r="X56" s="66">
        <f t="shared" si="15"/>
        <v>0</v>
      </c>
    </row>
    <row r="57" spans="1:24" s="74" customFormat="1" ht="26.25" customHeight="1">
      <c r="A57" s="1"/>
      <c r="B57" s="29"/>
      <c r="C57" s="56" t="s">
        <v>65</v>
      </c>
      <c r="D57" s="32">
        <f t="shared" si="16"/>
        <v>109800</v>
      </c>
      <c r="E57" s="30"/>
      <c r="F57" s="25">
        <f t="shared" si="17"/>
        <v>109800</v>
      </c>
      <c r="G57" s="32">
        <v>109800</v>
      </c>
      <c r="H57" s="25"/>
      <c r="I57" s="46"/>
      <c r="J57" s="52">
        <f t="shared" si="13"/>
        <v>109800</v>
      </c>
      <c r="K57" s="59"/>
      <c r="L57" s="59"/>
      <c r="M57" s="59"/>
      <c r="N57" s="59"/>
      <c r="O57" s="59">
        <f>109800-109800</f>
        <v>0</v>
      </c>
      <c r="P57" s="59"/>
      <c r="Q57" s="59"/>
      <c r="R57" s="59"/>
      <c r="S57" s="60"/>
      <c r="T57" s="59"/>
      <c r="U57" s="59"/>
      <c r="V57" s="59">
        <f>109800</f>
        <v>109800</v>
      </c>
      <c r="W57" s="59">
        <f aca="true" t="shared" si="18" ref="W57:W99">SUM(K57:V57)</f>
        <v>109800</v>
      </c>
      <c r="X57" s="66">
        <f t="shared" si="15"/>
        <v>0</v>
      </c>
    </row>
    <row r="58" spans="1:24" s="74" customFormat="1" ht="40.5" customHeight="1">
      <c r="A58" s="1"/>
      <c r="B58" s="29"/>
      <c r="C58" s="56" t="s">
        <v>66</v>
      </c>
      <c r="D58" s="32">
        <f t="shared" si="16"/>
        <v>25280</v>
      </c>
      <c r="E58" s="30"/>
      <c r="F58" s="25">
        <f t="shared" si="17"/>
        <v>25280</v>
      </c>
      <c r="G58" s="32">
        <v>25280</v>
      </c>
      <c r="H58" s="25"/>
      <c r="I58" s="46"/>
      <c r="J58" s="52">
        <f t="shared" si="13"/>
        <v>25280</v>
      </c>
      <c r="K58" s="59"/>
      <c r="L58" s="59"/>
      <c r="M58" s="59"/>
      <c r="N58" s="59"/>
      <c r="O58" s="59"/>
      <c r="P58" s="59">
        <v>25280</v>
      </c>
      <c r="Q58" s="59"/>
      <c r="R58" s="59">
        <v>-4173</v>
      </c>
      <c r="S58" s="60"/>
      <c r="T58" s="59"/>
      <c r="U58" s="59"/>
      <c r="V58" s="59">
        <f>4173</f>
        <v>4173</v>
      </c>
      <c r="W58" s="59">
        <f t="shared" si="18"/>
        <v>25280</v>
      </c>
      <c r="X58" s="66">
        <f t="shared" si="15"/>
        <v>0</v>
      </c>
    </row>
    <row r="59" spans="1:24" s="74" customFormat="1" ht="24.75" customHeight="1">
      <c r="A59" s="1"/>
      <c r="B59" s="29"/>
      <c r="C59" s="56" t="s">
        <v>67</v>
      </c>
      <c r="D59" s="32">
        <f t="shared" si="16"/>
        <v>950000</v>
      </c>
      <c r="E59" s="30"/>
      <c r="F59" s="25">
        <f t="shared" si="17"/>
        <v>950000</v>
      </c>
      <c r="G59" s="32">
        <f>850000+250000-150000</f>
        <v>950000</v>
      </c>
      <c r="H59" s="25">
        <f>386615.55+36306+326749+11808.53</f>
        <v>761479.0800000001</v>
      </c>
      <c r="I59" s="46">
        <f>H59/D59*100</f>
        <v>80.15569263157896</v>
      </c>
      <c r="J59" s="52">
        <f t="shared" si="13"/>
        <v>188520.91999999993</v>
      </c>
      <c r="K59" s="59"/>
      <c r="L59" s="59"/>
      <c r="M59" s="59"/>
      <c r="N59" s="59"/>
      <c r="O59" s="60">
        <f>30000-30000</f>
        <v>0</v>
      </c>
      <c r="P59" s="60"/>
      <c r="Q59" s="60">
        <f>387000</f>
        <v>387000</v>
      </c>
      <c r="R59" s="60">
        <f>290103.26+250000</f>
        <v>540103.26</v>
      </c>
      <c r="S59" s="60">
        <v>15002.85</v>
      </c>
      <c r="T59" s="60">
        <f>514893.89-387000-150000</f>
        <v>-22106.109999999986</v>
      </c>
      <c r="U59" s="60"/>
      <c r="V59" s="60">
        <f>30000</f>
        <v>30000</v>
      </c>
      <c r="W59" s="59">
        <f t="shared" si="18"/>
        <v>950000</v>
      </c>
      <c r="X59" s="66">
        <f t="shared" si="15"/>
        <v>0</v>
      </c>
    </row>
    <row r="60" spans="1:24" s="74" customFormat="1" ht="40.5" customHeight="1">
      <c r="A60" s="1"/>
      <c r="B60" s="29"/>
      <c r="C60" s="56" t="s">
        <v>100</v>
      </c>
      <c r="D60" s="32">
        <f t="shared" si="16"/>
        <v>1180000</v>
      </c>
      <c r="E60" s="30"/>
      <c r="F60" s="25">
        <f t="shared" si="17"/>
        <v>1180000</v>
      </c>
      <c r="G60" s="32">
        <f>850000+330000</f>
        <v>1180000</v>
      </c>
      <c r="H60" s="25">
        <f>553277.5+572421.29+39829+2162.95</f>
        <v>1167690.74</v>
      </c>
      <c r="I60" s="46">
        <f>H60/D60*100</f>
        <v>98.95684237288135</v>
      </c>
      <c r="J60" s="52">
        <f t="shared" si="13"/>
        <v>12309.26000000001</v>
      </c>
      <c r="K60" s="59"/>
      <c r="L60" s="59"/>
      <c r="M60" s="59"/>
      <c r="N60" s="59"/>
      <c r="O60" s="60">
        <f>30000-30000+30000</f>
        <v>30000</v>
      </c>
      <c r="P60" s="60">
        <v>700000</v>
      </c>
      <c r="Q60" s="60">
        <f>450000</f>
        <v>450000</v>
      </c>
      <c r="R60" s="60">
        <f>300000-200000-100000</f>
        <v>0</v>
      </c>
      <c r="S60" s="60">
        <f>300000-300000</f>
        <v>0</v>
      </c>
      <c r="T60" s="60">
        <f>520000-500000-20000</f>
        <v>0</v>
      </c>
      <c r="U60" s="60"/>
      <c r="V60" s="60">
        <f>30000-30000</f>
        <v>0</v>
      </c>
      <c r="W60" s="59">
        <f t="shared" si="18"/>
        <v>1180000</v>
      </c>
      <c r="X60" s="66">
        <f t="shared" si="15"/>
        <v>0</v>
      </c>
    </row>
    <row r="61" spans="1:24" s="74" customFormat="1" ht="40.5" customHeight="1">
      <c r="A61" s="1"/>
      <c r="B61" s="29"/>
      <c r="C61" s="56" t="s">
        <v>68</v>
      </c>
      <c r="D61" s="32">
        <f t="shared" si="16"/>
        <v>120000</v>
      </c>
      <c r="E61" s="30"/>
      <c r="F61" s="25">
        <f t="shared" si="17"/>
        <v>120000</v>
      </c>
      <c r="G61" s="32">
        <v>120000</v>
      </c>
      <c r="H61" s="25"/>
      <c r="I61" s="46"/>
      <c r="J61" s="52">
        <f t="shared" si="13"/>
        <v>120000</v>
      </c>
      <c r="K61" s="59"/>
      <c r="L61" s="59"/>
      <c r="M61" s="59"/>
      <c r="N61" s="59">
        <v>50000</v>
      </c>
      <c r="O61" s="59">
        <f>70000-120000</f>
        <v>-50000</v>
      </c>
      <c r="P61" s="59"/>
      <c r="Q61" s="59"/>
      <c r="R61" s="59"/>
      <c r="S61" s="60"/>
      <c r="T61" s="59"/>
      <c r="U61" s="59"/>
      <c r="V61" s="59">
        <f>120000</f>
        <v>120000</v>
      </c>
      <c r="W61" s="59">
        <f t="shared" si="18"/>
        <v>120000</v>
      </c>
      <c r="X61" s="66">
        <f t="shared" si="15"/>
        <v>0</v>
      </c>
    </row>
    <row r="62" spans="1:24" s="74" customFormat="1" ht="23.25" customHeight="1">
      <c r="A62" s="1"/>
      <c r="B62" s="29"/>
      <c r="C62" s="56" t="s">
        <v>69</v>
      </c>
      <c r="D62" s="32">
        <f t="shared" si="16"/>
        <v>5000</v>
      </c>
      <c r="E62" s="30"/>
      <c r="F62" s="25">
        <f t="shared" si="17"/>
        <v>5000</v>
      </c>
      <c r="G62" s="32">
        <v>5000</v>
      </c>
      <c r="H62" s="25"/>
      <c r="I62" s="46"/>
      <c r="J62" s="52">
        <f t="shared" si="13"/>
        <v>5000</v>
      </c>
      <c r="K62" s="59"/>
      <c r="L62" s="59"/>
      <c r="M62" s="59"/>
      <c r="N62" s="59">
        <v>5000</v>
      </c>
      <c r="O62" s="59"/>
      <c r="P62" s="59"/>
      <c r="Q62" s="59"/>
      <c r="R62" s="59"/>
      <c r="S62" s="60"/>
      <c r="T62" s="59"/>
      <c r="U62" s="59"/>
      <c r="V62" s="59"/>
      <c r="W62" s="59">
        <f t="shared" si="18"/>
        <v>5000</v>
      </c>
      <c r="X62" s="66">
        <f t="shared" si="15"/>
        <v>0</v>
      </c>
    </row>
    <row r="63" spans="1:24" s="74" customFormat="1" ht="23.25" customHeight="1">
      <c r="A63" s="1"/>
      <c r="B63" s="29"/>
      <c r="C63" s="56" t="s">
        <v>102</v>
      </c>
      <c r="D63" s="32">
        <f>F63</f>
        <v>500000</v>
      </c>
      <c r="E63" s="30"/>
      <c r="F63" s="25">
        <f>G63</f>
        <v>500000</v>
      </c>
      <c r="G63" s="32">
        <v>500000</v>
      </c>
      <c r="H63" s="25">
        <f>150000</f>
        <v>150000</v>
      </c>
      <c r="I63" s="46">
        <f>H63/D63*100</f>
        <v>30</v>
      </c>
      <c r="J63" s="52">
        <f t="shared" si="13"/>
        <v>350000</v>
      </c>
      <c r="K63" s="59"/>
      <c r="L63" s="59"/>
      <c r="M63" s="59"/>
      <c r="N63" s="59"/>
      <c r="O63" s="59"/>
      <c r="P63" s="59">
        <v>500000</v>
      </c>
      <c r="Q63" s="59"/>
      <c r="R63" s="59"/>
      <c r="S63" s="60"/>
      <c r="T63" s="59"/>
      <c r="U63" s="59"/>
      <c r="V63" s="59"/>
      <c r="W63" s="59">
        <f t="shared" si="18"/>
        <v>500000</v>
      </c>
      <c r="X63" s="66">
        <f t="shared" si="15"/>
        <v>0</v>
      </c>
    </row>
    <row r="64" spans="1:24" s="74" customFormat="1" ht="24.75" customHeight="1">
      <c r="A64" s="1"/>
      <c r="B64" s="29"/>
      <c r="C64" s="55" t="s">
        <v>70</v>
      </c>
      <c r="D64" s="32">
        <f t="shared" si="16"/>
        <v>120000</v>
      </c>
      <c r="E64" s="30"/>
      <c r="F64" s="25">
        <f t="shared" si="17"/>
        <v>120000</v>
      </c>
      <c r="G64" s="32">
        <v>120000</v>
      </c>
      <c r="H64" s="25"/>
      <c r="I64" s="46"/>
      <c r="J64" s="52">
        <f t="shared" si="13"/>
        <v>120000</v>
      </c>
      <c r="K64" s="59"/>
      <c r="L64" s="59"/>
      <c r="M64" s="59"/>
      <c r="N64" s="59"/>
      <c r="O64" s="59">
        <f>120000-120000</f>
        <v>0</v>
      </c>
      <c r="P64" s="59"/>
      <c r="Q64" s="59"/>
      <c r="R64" s="59"/>
      <c r="S64" s="60"/>
      <c r="T64" s="59"/>
      <c r="U64" s="59"/>
      <c r="V64" s="59">
        <f>120000</f>
        <v>120000</v>
      </c>
      <c r="W64" s="59">
        <f t="shared" si="18"/>
        <v>120000</v>
      </c>
      <c r="X64" s="66">
        <f t="shared" si="15"/>
        <v>0</v>
      </c>
    </row>
    <row r="65" spans="1:24" s="74" customFormat="1" ht="39.75" customHeight="1">
      <c r="A65" s="1"/>
      <c r="B65" s="29"/>
      <c r="C65" s="56" t="s">
        <v>71</v>
      </c>
      <c r="D65" s="32">
        <f t="shared" si="16"/>
        <v>500</v>
      </c>
      <c r="E65" s="30"/>
      <c r="F65" s="25">
        <f t="shared" si="17"/>
        <v>500</v>
      </c>
      <c r="G65" s="32">
        <v>500</v>
      </c>
      <c r="H65" s="25"/>
      <c r="I65" s="46"/>
      <c r="J65" s="52">
        <f t="shared" si="13"/>
        <v>500</v>
      </c>
      <c r="K65" s="59"/>
      <c r="L65" s="59"/>
      <c r="M65" s="59"/>
      <c r="N65" s="59">
        <v>500</v>
      </c>
      <c r="O65" s="59"/>
      <c r="P65" s="59"/>
      <c r="Q65" s="59"/>
      <c r="R65" s="59"/>
      <c r="S65" s="60"/>
      <c r="T65" s="59"/>
      <c r="U65" s="59"/>
      <c r="V65" s="59"/>
      <c r="W65" s="59">
        <f t="shared" si="18"/>
        <v>500</v>
      </c>
      <c r="X65" s="66">
        <f t="shared" si="15"/>
        <v>0</v>
      </c>
    </row>
    <row r="66" spans="1:24" s="74" customFormat="1" ht="24.75" customHeight="1">
      <c r="A66" s="1"/>
      <c r="B66" s="29"/>
      <c r="C66" s="55" t="s">
        <v>72</v>
      </c>
      <c r="D66" s="32">
        <f t="shared" si="16"/>
        <v>50000</v>
      </c>
      <c r="E66" s="30"/>
      <c r="F66" s="25">
        <f t="shared" si="17"/>
        <v>50000</v>
      </c>
      <c r="G66" s="32">
        <v>50000</v>
      </c>
      <c r="H66" s="25"/>
      <c r="I66" s="46"/>
      <c r="J66" s="52">
        <f t="shared" si="13"/>
        <v>50000</v>
      </c>
      <c r="K66" s="59"/>
      <c r="L66" s="59"/>
      <c r="M66" s="59"/>
      <c r="N66" s="59"/>
      <c r="O66" s="59"/>
      <c r="P66" s="59">
        <v>50000</v>
      </c>
      <c r="Q66" s="59"/>
      <c r="R66" s="59"/>
      <c r="S66" s="60"/>
      <c r="T66" s="59"/>
      <c r="U66" s="59"/>
      <c r="V66" s="59"/>
      <c r="W66" s="59">
        <f t="shared" si="18"/>
        <v>50000</v>
      </c>
      <c r="X66" s="66">
        <f t="shared" si="15"/>
        <v>0</v>
      </c>
    </row>
    <row r="67" spans="1:24" s="74" customFormat="1" ht="24.75" customHeight="1">
      <c r="A67" s="1"/>
      <c r="B67" s="29"/>
      <c r="C67" s="55" t="s">
        <v>73</v>
      </c>
      <c r="D67" s="32">
        <f t="shared" si="16"/>
        <v>200000</v>
      </c>
      <c r="E67" s="30"/>
      <c r="F67" s="25">
        <f t="shared" si="17"/>
        <v>200000</v>
      </c>
      <c r="G67" s="32">
        <v>200000</v>
      </c>
      <c r="H67" s="25">
        <f>60000</f>
        <v>60000</v>
      </c>
      <c r="I67" s="46">
        <f>H67/D67*100</f>
        <v>30</v>
      </c>
      <c r="J67" s="52">
        <f t="shared" si="13"/>
        <v>140000</v>
      </c>
      <c r="K67" s="59"/>
      <c r="L67" s="59"/>
      <c r="M67" s="59"/>
      <c r="N67" s="59"/>
      <c r="O67" s="59">
        <v>60000</v>
      </c>
      <c r="P67" s="59"/>
      <c r="Q67" s="59">
        <f>65000-60000+70000</f>
        <v>75000</v>
      </c>
      <c r="R67" s="59">
        <v>65000</v>
      </c>
      <c r="S67" s="60">
        <f>70000-70000</f>
        <v>0</v>
      </c>
      <c r="T67" s="59"/>
      <c r="U67" s="59"/>
      <c r="V67" s="59"/>
      <c r="W67" s="59">
        <f t="shared" si="18"/>
        <v>200000</v>
      </c>
      <c r="X67" s="66">
        <f t="shared" si="15"/>
        <v>0</v>
      </c>
    </row>
    <row r="68" spans="1:24" s="74" customFormat="1" ht="24.75" customHeight="1">
      <c r="A68" s="1"/>
      <c r="B68" s="29"/>
      <c r="C68" s="55" t="s">
        <v>74</v>
      </c>
      <c r="D68" s="32">
        <f t="shared" si="16"/>
        <v>200000</v>
      </c>
      <c r="E68" s="30"/>
      <c r="F68" s="25">
        <f t="shared" si="17"/>
        <v>200000</v>
      </c>
      <c r="G68" s="32">
        <v>200000</v>
      </c>
      <c r="H68" s="25"/>
      <c r="I68" s="46"/>
      <c r="J68" s="52">
        <f t="shared" si="13"/>
        <v>200000</v>
      </c>
      <c r="K68" s="59"/>
      <c r="L68" s="59"/>
      <c r="M68" s="59"/>
      <c r="N68" s="59">
        <v>60000</v>
      </c>
      <c r="O68" s="59">
        <f>-60000</f>
        <v>-60000</v>
      </c>
      <c r="P68" s="59">
        <v>140000</v>
      </c>
      <c r="Q68" s="59">
        <f>60000</f>
        <v>60000</v>
      </c>
      <c r="R68" s="59"/>
      <c r="S68" s="60"/>
      <c r="T68" s="59"/>
      <c r="U68" s="59"/>
      <c r="V68" s="59">
        <f>60000-60000</f>
        <v>0</v>
      </c>
      <c r="W68" s="59">
        <f t="shared" si="18"/>
        <v>200000</v>
      </c>
      <c r="X68" s="66">
        <f t="shared" si="15"/>
        <v>0</v>
      </c>
    </row>
    <row r="69" spans="1:24" s="74" customFormat="1" ht="24.75" customHeight="1">
      <c r="A69" s="1"/>
      <c r="B69" s="29"/>
      <c r="C69" s="57" t="s">
        <v>76</v>
      </c>
      <c r="D69" s="32">
        <f t="shared" si="16"/>
        <v>1450000</v>
      </c>
      <c r="E69" s="30"/>
      <c r="F69" s="25">
        <f t="shared" si="17"/>
        <v>1450000</v>
      </c>
      <c r="G69" s="32">
        <f>350000+10100000-9000000</f>
        <v>1450000</v>
      </c>
      <c r="H69" s="25">
        <f>105000+245000+450000</f>
        <v>800000</v>
      </c>
      <c r="I69" s="46">
        <f>H69/D69*100</f>
        <v>55.172413793103445</v>
      </c>
      <c r="J69" s="52">
        <f t="shared" si="13"/>
        <v>650000</v>
      </c>
      <c r="K69" s="59"/>
      <c r="L69" s="59"/>
      <c r="M69" s="59">
        <v>215000</v>
      </c>
      <c r="N69" s="59"/>
      <c r="O69" s="59">
        <f>-50000-60000</f>
        <v>-110000</v>
      </c>
      <c r="P69" s="59"/>
      <c r="Q69" s="59">
        <f>60000+185000</f>
        <v>245000</v>
      </c>
      <c r="R69" s="59">
        <f>135000-135000</f>
        <v>0</v>
      </c>
      <c r="S69" s="60"/>
      <c r="T69" s="59"/>
      <c r="U69" s="59">
        <v>1100000</v>
      </c>
      <c r="V69" s="59">
        <v>0</v>
      </c>
      <c r="W69" s="59">
        <f t="shared" si="18"/>
        <v>1450000</v>
      </c>
      <c r="X69" s="66">
        <f t="shared" si="15"/>
        <v>0</v>
      </c>
    </row>
    <row r="70" spans="1:24" s="74" customFormat="1" ht="24.75" customHeight="1">
      <c r="A70" s="1"/>
      <c r="B70" s="29"/>
      <c r="C70" s="56" t="s">
        <v>77</v>
      </c>
      <c r="D70" s="32">
        <f t="shared" si="16"/>
        <v>200000</v>
      </c>
      <c r="E70" s="30"/>
      <c r="F70" s="25">
        <f t="shared" si="17"/>
        <v>200000</v>
      </c>
      <c r="G70" s="32">
        <v>200000</v>
      </c>
      <c r="H70" s="25">
        <f>60000</f>
        <v>60000</v>
      </c>
      <c r="I70" s="46">
        <f>H70/D70*100</f>
        <v>30</v>
      </c>
      <c r="J70" s="52">
        <f t="shared" si="13"/>
        <v>140000</v>
      </c>
      <c r="K70" s="59"/>
      <c r="L70" s="59"/>
      <c r="M70" s="59">
        <v>60000</v>
      </c>
      <c r="N70" s="59"/>
      <c r="O70" s="59">
        <v>-60000</v>
      </c>
      <c r="P70" s="59"/>
      <c r="Q70" s="59">
        <f>30000+30000</f>
        <v>60000</v>
      </c>
      <c r="R70" s="59">
        <f>21967+30000</f>
        <v>51967</v>
      </c>
      <c r="S70" s="60">
        <f>40000</f>
        <v>40000</v>
      </c>
      <c r="T70" s="59"/>
      <c r="U70" s="59"/>
      <c r="V70" s="59">
        <f>78033-30000</f>
        <v>48033</v>
      </c>
      <c r="W70" s="59">
        <f t="shared" si="18"/>
        <v>200000</v>
      </c>
      <c r="X70" s="66">
        <f t="shared" si="15"/>
        <v>0</v>
      </c>
    </row>
    <row r="71" spans="1:24" s="74" customFormat="1" ht="26.25" customHeight="1">
      <c r="A71" s="1"/>
      <c r="B71" s="29"/>
      <c r="C71" s="58" t="s">
        <v>78</v>
      </c>
      <c r="D71" s="32">
        <f t="shared" si="16"/>
        <v>250000</v>
      </c>
      <c r="E71" s="30"/>
      <c r="F71" s="25">
        <f t="shared" si="17"/>
        <v>250000</v>
      </c>
      <c r="G71" s="32">
        <v>250000</v>
      </c>
      <c r="H71" s="25">
        <f>41194.43</f>
        <v>41194.43</v>
      </c>
      <c r="I71" s="46">
        <f>H71/D71*100</f>
        <v>16.477771999999998</v>
      </c>
      <c r="J71" s="52">
        <f t="shared" si="13"/>
        <v>208805.57</v>
      </c>
      <c r="K71" s="59"/>
      <c r="L71" s="59"/>
      <c r="M71" s="59"/>
      <c r="N71" s="59"/>
      <c r="O71" s="59"/>
      <c r="P71" s="59"/>
      <c r="Q71" s="59"/>
      <c r="R71" s="59"/>
      <c r="S71" s="60">
        <f>125000</f>
        <v>125000</v>
      </c>
      <c r="T71" s="59">
        <v>125000</v>
      </c>
      <c r="U71" s="59"/>
      <c r="V71" s="59"/>
      <c r="W71" s="59">
        <f t="shared" si="18"/>
        <v>250000</v>
      </c>
      <c r="X71" s="66">
        <f t="shared" si="15"/>
        <v>0</v>
      </c>
    </row>
    <row r="72" spans="1:24" s="74" customFormat="1" ht="24.75" customHeight="1">
      <c r="A72" s="1"/>
      <c r="B72" s="29"/>
      <c r="C72" s="56" t="s">
        <v>79</v>
      </c>
      <c r="D72" s="32">
        <f t="shared" si="16"/>
        <v>260000</v>
      </c>
      <c r="E72" s="30"/>
      <c r="F72" s="25">
        <f t="shared" si="17"/>
        <v>260000</v>
      </c>
      <c r="G72" s="32">
        <v>260000</v>
      </c>
      <c r="H72" s="25"/>
      <c r="I72" s="46"/>
      <c r="J72" s="52">
        <f t="shared" si="13"/>
        <v>260000</v>
      </c>
      <c r="K72" s="59"/>
      <c r="L72" s="59"/>
      <c r="M72" s="59"/>
      <c r="N72" s="59"/>
      <c r="O72" s="59"/>
      <c r="P72" s="59"/>
      <c r="Q72" s="59"/>
      <c r="R72" s="59"/>
      <c r="S72" s="60"/>
      <c r="T72" s="59">
        <v>135000</v>
      </c>
      <c r="U72" s="59">
        <v>125000</v>
      </c>
      <c r="V72" s="59"/>
      <c r="W72" s="59">
        <f t="shared" si="18"/>
        <v>260000</v>
      </c>
      <c r="X72" s="66">
        <f t="shared" si="15"/>
        <v>0</v>
      </c>
    </row>
    <row r="73" spans="1:24" s="74" customFormat="1" ht="24.75" customHeight="1">
      <c r="A73" s="1"/>
      <c r="B73" s="29"/>
      <c r="C73" s="56" t="s">
        <v>95</v>
      </c>
      <c r="D73" s="32">
        <f t="shared" si="16"/>
        <v>150000</v>
      </c>
      <c r="E73" s="30"/>
      <c r="F73" s="25">
        <f t="shared" si="17"/>
        <v>150000</v>
      </c>
      <c r="G73" s="32">
        <v>150000</v>
      </c>
      <c r="H73" s="25"/>
      <c r="I73" s="46"/>
      <c r="J73" s="52">
        <f t="shared" si="13"/>
        <v>150000</v>
      </c>
      <c r="K73" s="59"/>
      <c r="L73" s="59"/>
      <c r="M73" s="59"/>
      <c r="N73" s="59"/>
      <c r="O73" s="59"/>
      <c r="P73" s="59"/>
      <c r="Q73" s="59"/>
      <c r="R73" s="59"/>
      <c r="S73" s="60"/>
      <c r="T73" s="59"/>
      <c r="U73" s="59">
        <v>150000</v>
      </c>
      <c r="V73" s="59"/>
      <c r="W73" s="59">
        <f t="shared" si="18"/>
        <v>150000</v>
      </c>
      <c r="X73" s="66">
        <f t="shared" si="15"/>
        <v>0</v>
      </c>
    </row>
    <row r="74" spans="1:24" s="74" customFormat="1" ht="24.75" customHeight="1">
      <c r="A74" s="1"/>
      <c r="B74" s="29"/>
      <c r="C74" s="56" t="s">
        <v>80</v>
      </c>
      <c r="D74" s="32">
        <f t="shared" si="16"/>
        <v>150000</v>
      </c>
      <c r="E74" s="30"/>
      <c r="F74" s="25">
        <f t="shared" si="17"/>
        <v>150000</v>
      </c>
      <c r="G74" s="32">
        <v>150000</v>
      </c>
      <c r="H74" s="25"/>
      <c r="I74" s="46"/>
      <c r="J74" s="52">
        <f t="shared" si="13"/>
        <v>150000</v>
      </c>
      <c r="K74" s="59"/>
      <c r="L74" s="59"/>
      <c r="M74" s="59"/>
      <c r="N74" s="59"/>
      <c r="O74" s="59"/>
      <c r="P74" s="59"/>
      <c r="Q74" s="59"/>
      <c r="R74" s="59"/>
      <c r="S74" s="60"/>
      <c r="T74" s="59">
        <v>150000</v>
      </c>
      <c r="U74" s="59"/>
      <c r="V74" s="59"/>
      <c r="W74" s="59">
        <f t="shared" si="18"/>
        <v>150000</v>
      </c>
      <c r="X74" s="66">
        <f t="shared" si="15"/>
        <v>0</v>
      </c>
    </row>
    <row r="75" spans="1:24" s="74" customFormat="1" ht="24.75" customHeight="1">
      <c r="A75" s="1"/>
      <c r="B75" s="29"/>
      <c r="C75" s="55" t="s">
        <v>75</v>
      </c>
      <c r="D75" s="32">
        <f>F75</f>
        <v>12760000</v>
      </c>
      <c r="E75" s="30"/>
      <c r="F75" s="25">
        <f>G75</f>
        <v>12760000</v>
      </c>
      <c r="G75" s="32">
        <f>300000+5000000+7460000</f>
        <v>12760000</v>
      </c>
      <c r="H75" s="25">
        <f>300000+3000000+156232+1500000+677114.2</f>
        <v>5633346.2</v>
      </c>
      <c r="I75" s="46">
        <f>H75/D75*100</f>
        <v>44.14848119122257</v>
      </c>
      <c r="J75" s="52">
        <f t="shared" si="13"/>
        <v>7126653.8</v>
      </c>
      <c r="K75" s="59"/>
      <c r="L75" s="59"/>
      <c r="M75" s="59">
        <v>100000</v>
      </c>
      <c r="N75" s="59"/>
      <c r="O75" s="59">
        <f>200000-300000</f>
        <v>-100000</v>
      </c>
      <c r="P75" s="59"/>
      <c r="Q75" s="59">
        <f>300000</f>
        <v>300000</v>
      </c>
      <c r="R75" s="59"/>
      <c r="S75" s="60">
        <f>2800000+3730000</f>
        <v>6530000</v>
      </c>
      <c r="T75" s="60">
        <f>2200000+3730000</f>
        <v>5930000</v>
      </c>
      <c r="U75" s="59"/>
      <c r="V75" s="59">
        <f>300000-300000</f>
        <v>0</v>
      </c>
      <c r="W75" s="59">
        <f>SUM(K75:V75)</f>
        <v>12760000</v>
      </c>
      <c r="X75" s="66">
        <f t="shared" si="15"/>
        <v>0</v>
      </c>
    </row>
    <row r="76" spans="1:24" s="74" customFormat="1" ht="22.5" customHeight="1">
      <c r="A76" s="1"/>
      <c r="B76" s="29"/>
      <c r="C76" s="55" t="s">
        <v>81</v>
      </c>
      <c r="D76" s="32">
        <f t="shared" si="16"/>
        <v>19540000</v>
      </c>
      <c r="E76" s="30"/>
      <c r="F76" s="25">
        <f t="shared" si="17"/>
        <v>19540000</v>
      </c>
      <c r="G76" s="32">
        <f>12500000+2000000+5040000</f>
        <v>19540000</v>
      </c>
      <c r="H76" s="25">
        <f>6182.05+6000000+1080000+1700000-1162569.24+62537.98+1721568.05+36781.18</f>
        <v>9444500.020000001</v>
      </c>
      <c r="I76" s="25">
        <f>H76/D76*100</f>
        <v>48.33418638689867</v>
      </c>
      <c r="J76" s="52">
        <f t="shared" si="13"/>
        <v>10095499.979999999</v>
      </c>
      <c r="K76" s="59"/>
      <c r="L76" s="59"/>
      <c r="M76" s="59">
        <v>125000</v>
      </c>
      <c r="N76" s="59"/>
      <c r="O76" s="59">
        <f>-118817.95</f>
        <v>-118817.95</v>
      </c>
      <c r="P76" s="59"/>
      <c r="Q76" s="59">
        <f>6000000+100000</f>
        <v>6100000</v>
      </c>
      <c r="R76" s="60">
        <f>1000000</f>
        <v>1000000</v>
      </c>
      <c r="S76" s="60">
        <f>2520000</f>
        <v>2520000</v>
      </c>
      <c r="T76" s="60">
        <f>2000000-100000+2000000-1000000+2520000</f>
        <v>5420000</v>
      </c>
      <c r="U76" s="60">
        <v>4375000</v>
      </c>
      <c r="V76" s="60">
        <v>118817.95</v>
      </c>
      <c r="W76" s="59">
        <f t="shared" si="18"/>
        <v>19540000</v>
      </c>
      <c r="X76" s="66">
        <f t="shared" si="15"/>
        <v>0</v>
      </c>
    </row>
    <row r="77" spans="1:24" s="74" customFormat="1" ht="22.5" customHeight="1">
      <c r="A77" s="1"/>
      <c r="B77" s="29"/>
      <c r="C77" s="31" t="s">
        <v>110</v>
      </c>
      <c r="D77" s="32">
        <f t="shared" si="16"/>
        <v>150000</v>
      </c>
      <c r="E77" s="30"/>
      <c r="F77" s="25">
        <f t="shared" si="17"/>
        <v>150000</v>
      </c>
      <c r="G77" s="32">
        <v>150000</v>
      </c>
      <c r="H77" s="25"/>
      <c r="I77" s="25"/>
      <c r="J77" s="52">
        <f t="shared" si="13"/>
        <v>150000</v>
      </c>
      <c r="K77" s="59"/>
      <c r="L77" s="59"/>
      <c r="M77" s="59"/>
      <c r="N77" s="59"/>
      <c r="O77" s="59"/>
      <c r="P77" s="59"/>
      <c r="Q77" s="59"/>
      <c r="R77" s="59"/>
      <c r="S77" s="60"/>
      <c r="T77" s="59">
        <f>150000</f>
        <v>150000</v>
      </c>
      <c r="U77" s="59"/>
      <c r="V77" s="59"/>
      <c r="W77" s="59">
        <f t="shared" si="18"/>
        <v>150000</v>
      </c>
      <c r="X77" s="66">
        <f t="shared" si="15"/>
        <v>0</v>
      </c>
    </row>
    <row r="78" spans="1:24" s="74" customFormat="1" ht="21.75" customHeight="1">
      <c r="A78" s="1"/>
      <c r="B78" s="29"/>
      <c r="C78" s="55" t="s">
        <v>82</v>
      </c>
      <c r="D78" s="32">
        <f t="shared" si="16"/>
        <v>3760000</v>
      </c>
      <c r="E78" s="30"/>
      <c r="F78" s="25">
        <f t="shared" si="17"/>
        <v>3760000</v>
      </c>
      <c r="G78" s="32">
        <f>3043000+7000+710000</f>
        <v>3760000</v>
      </c>
      <c r="H78" s="25">
        <f>275933.34+29437.7+941917.2+15430.54+158281.2+54884.4+2515.78+901.08</f>
        <v>1479301.24</v>
      </c>
      <c r="I78" s="46">
        <f>H78/D78*100</f>
        <v>39.34311808510638</v>
      </c>
      <c r="J78" s="52">
        <f t="shared" si="13"/>
        <v>2280698.76</v>
      </c>
      <c r="K78" s="59"/>
      <c r="L78" s="59"/>
      <c r="M78" s="59">
        <v>754000</v>
      </c>
      <c r="N78" s="59">
        <v>7000</v>
      </c>
      <c r="O78" s="59">
        <v>764000</v>
      </c>
      <c r="P78" s="59">
        <f>1255000-838191</f>
        <v>416809</v>
      </c>
      <c r="Q78" s="59"/>
      <c r="R78" s="59"/>
      <c r="S78" s="60">
        <f>270000+150850</f>
        <v>420850</v>
      </c>
      <c r="T78" s="59"/>
      <c r="U78" s="59">
        <f>687341</f>
        <v>687341</v>
      </c>
      <c r="V78" s="59">
        <v>710000</v>
      </c>
      <c r="W78" s="59">
        <f t="shared" si="18"/>
        <v>3760000</v>
      </c>
      <c r="X78" s="66">
        <f t="shared" si="15"/>
        <v>0</v>
      </c>
    </row>
    <row r="79" spans="1:24" s="74" customFormat="1" ht="18.75" customHeight="1">
      <c r="A79" s="1"/>
      <c r="B79" s="29"/>
      <c r="C79" s="55" t="s">
        <v>83</v>
      </c>
      <c r="D79" s="32">
        <f t="shared" si="16"/>
        <v>3926191</v>
      </c>
      <c r="E79" s="30"/>
      <c r="F79" s="25">
        <f t="shared" si="17"/>
        <v>3926191</v>
      </c>
      <c r="G79" s="32">
        <f>6648900-7000+1500000-5115600-88109+988000</f>
        <v>3926191</v>
      </c>
      <c r="H79" s="25">
        <f>1453283.2+635176.8+818106.4+14056.21+491000+10144+7457.9</f>
        <v>3429224.51</v>
      </c>
      <c r="I79" s="46">
        <f>H79/D79*100</f>
        <v>87.34227422965412</v>
      </c>
      <c r="J79" s="52">
        <f t="shared" si="13"/>
        <v>496966.4900000002</v>
      </c>
      <c r="K79" s="59"/>
      <c r="L79" s="59"/>
      <c r="M79" s="59">
        <v>7000</v>
      </c>
      <c r="N79" s="59">
        <v>-7000</v>
      </c>
      <c r="O79" s="59"/>
      <c r="P79" s="59">
        <f>3315950+2000000-3315950+100000+838191</f>
        <v>2938191</v>
      </c>
      <c r="Q79" s="59"/>
      <c r="R79" s="59">
        <f>988000</f>
        <v>988000</v>
      </c>
      <c r="S79" s="60">
        <f>1000000-749150-100000-150850-180000-24000</f>
        <v>-204000</v>
      </c>
      <c r="T79" s="59">
        <f>1000000-1000000+24000</f>
        <v>24000</v>
      </c>
      <c r="U79" s="59">
        <f>1325950+1000000-1000000-550500-88109-687341+180000</f>
        <v>180000</v>
      </c>
      <c r="V79" s="59">
        <f>500000-500000</f>
        <v>0</v>
      </c>
      <c r="W79" s="59">
        <f t="shared" si="18"/>
        <v>3926191</v>
      </c>
      <c r="X79" s="66">
        <f t="shared" si="15"/>
        <v>0</v>
      </c>
    </row>
    <row r="80" spans="1:24" s="74" customFormat="1" ht="18.75" customHeight="1">
      <c r="A80" s="1"/>
      <c r="B80" s="29"/>
      <c r="C80" s="31" t="s">
        <v>31</v>
      </c>
      <c r="D80" s="32">
        <f t="shared" si="16"/>
        <v>2519000</v>
      </c>
      <c r="E80" s="30"/>
      <c r="F80" s="25">
        <f t="shared" si="17"/>
        <v>2519000</v>
      </c>
      <c r="G80" s="32">
        <v>2519000</v>
      </c>
      <c r="H80" s="25">
        <f>595483.2+6729.38+480496.81+1110192.46+12728.84+129168.41</f>
        <v>2334799.0999999996</v>
      </c>
      <c r="I80" s="46">
        <f>H80/D80*100</f>
        <v>92.68753870583564</v>
      </c>
      <c r="J80" s="52">
        <f t="shared" si="13"/>
        <v>184200.90000000037</v>
      </c>
      <c r="K80" s="59"/>
      <c r="L80" s="59">
        <v>300000</v>
      </c>
      <c r="M80" s="59">
        <v>330000</v>
      </c>
      <c r="N80" s="59"/>
      <c r="O80" s="59">
        <f>370000+105000</f>
        <v>475000</v>
      </c>
      <c r="P80" s="59">
        <f>1519000-105000</f>
        <v>1414000</v>
      </c>
      <c r="Q80" s="59"/>
      <c r="R80" s="59"/>
      <c r="S80" s="60"/>
      <c r="T80" s="59"/>
      <c r="U80" s="59"/>
      <c r="V80" s="59"/>
      <c r="W80" s="59">
        <f t="shared" si="18"/>
        <v>2519000</v>
      </c>
      <c r="X80" s="66">
        <f t="shared" si="15"/>
        <v>0</v>
      </c>
    </row>
    <row r="81" spans="1:24" s="74" customFormat="1" ht="19.5" customHeight="1">
      <c r="A81" s="1"/>
      <c r="B81" s="29"/>
      <c r="C81" s="31" t="s">
        <v>32</v>
      </c>
      <c r="D81" s="32">
        <f t="shared" si="16"/>
        <v>6000000</v>
      </c>
      <c r="E81" s="30"/>
      <c r="F81" s="25">
        <f t="shared" si="17"/>
        <v>6000000</v>
      </c>
      <c r="G81" s="32">
        <f>125000+3875000+2000000</f>
        <v>6000000</v>
      </c>
      <c r="H81" s="25">
        <f>40071.36+84500+1140000+2092395.14</f>
        <v>3356966.5</v>
      </c>
      <c r="I81" s="46">
        <f>H81/D81*100</f>
        <v>55.949441666666665</v>
      </c>
      <c r="J81" s="52">
        <f t="shared" si="13"/>
        <v>2643033.5</v>
      </c>
      <c r="K81" s="59"/>
      <c r="L81" s="59"/>
      <c r="M81" s="59">
        <v>125000</v>
      </c>
      <c r="N81" s="59">
        <v>75000</v>
      </c>
      <c r="O81" s="59"/>
      <c r="P81" s="59"/>
      <c r="Q81" s="59">
        <v>1900000</v>
      </c>
      <c r="R81" s="59"/>
      <c r="S81" s="60"/>
      <c r="T81" s="59">
        <v>950000</v>
      </c>
      <c r="U81" s="59">
        <v>950000</v>
      </c>
      <c r="V81" s="59">
        <v>2000000</v>
      </c>
      <c r="W81" s="59">
        <f t="shared" si="18"/>
        <v>6000000</v>
      </c>
      <c r="X81" s="66">
        <f t="shared" si="15"/>
        <v>0</v>
      </c>
    </row>
    <row r="82" spans="1:24" s="74" customFormat="1" ht="19.5" customHeight="1">
      <c r="A82" s="1"/>
      <c r="B82" s="29"/>
      <c r="C82" s="31" t="s">
        <v>106</v>
      </c>
      <c r="D82" s="32">
        <f>F82</f>
        <v>80000</v>
      </c>
      <c r="E82" s="30"/>
      <c r="F82" s="25">
        <f>G82</f>
        <v>80000</v>
      </c>
      <c r="G82" s="32">
        <f>1480000-149491-1250509</f>
        <v>80000</v>
      </c>
      <c r="H82" s="25">
        <f>21124</f>
        <v>21124</v>
      </c>
      <c r="I82" s="46">
        <f>H82/D82*100</f>
        <v>26.405</v>
      </c>
      <c r="J82" s="52">
        <f t="shared" si="13"/>
        <v>58876</v>
      </c>
      <c r="K82" s="59"/>
      <c r="L82" s="59"/>
      <c r="M82" s="59"/>
      <c r="N82" s="59"/>
      <c r="O82" s="59"/>
      <c r="P82" s="59"/>
      <c r="Q82" s="59"/>
      <c r="R82" s="59"/>
      <c r="S82" s="60">
        <f>740000-510509-149491</f>
        <v>80000</v>
      </c>
      <c r="T82" s="60">
        <f>740000-740000</f>
        <v>0</v>
      </c>
      <c r="U82" s="59"/>
      <c r="V82" s="59"/>
      <c r="W82" s="59">
        <f t="shared" si="18"/>
        <v>80000</v>
      </c>
      <c r="X82" s="66">
        <f t="shared" si="15"/>
        <v>0</v>
      </c>
    </row>
    <row r="83" spans="1:24" s="74" customFormat="1" ht="40.5" customHeight="1">
      <c r="A83" s="1"/>
      <c r="B83" s="29"/>
      <c r="C83" s="55" t="s">
        <v>33</v>
      </c>
      <c r="D83" s="32">
        <f t="shared" si="16"/>
        <v>147000</v>
      </c>
      <c r="E83" s="30"/>
      <c r="F83" s="25">
        <f t="shared" si="17"/>
        <v>147000</v>
      </c>
      <c r="G83" s="32">
        <f>462000+385000-700000</f>
        <v>147000</v>
      </c>
      <c r="H83" s="25"/>
      <c r="I83" s="46"/>
      <c r="J83" s="52">
        <f t="shared" si="13"/>
        <v>147000</v>
      </c>
      <c r="K83" s="59"/>
      <c r="L83" s="59">
        <v>462000</v>
      </c>
      <c r="M83" s="59">
        <v>-315000</v>
      </c>
      <c r="N83" s="59"/>
      <c r="O83" s="59"/>
      <c r="P83" s="59"/>
      <c r="Q83" s="59"/>
      <c r="R83" s="59"/>
      <c r="S83" s="60">
        <f>125000-125000</f>
        <v>0</v>
      </c>
      <c r="T83" s="59">
        <f>260000-260000</f>
        <v>0</v>
      </c>
      <c r="U83" s="59"/>
      <c r="V83" s="59"/>
      <c r="W83" s="59">
        <f t="shared" si="18"/>
        <v>147000</v>
      </c>
      <c r="X83" s="66">
        <f t="shared" si="15"/>
        <v>0</v>
      </c>
    </row>
    <row r="84" spans="1:25" s="74" customFormat="1" ht="42" customHeight="1">
      <c r="A84" s="1"/>
      <c r="B84" s="29"/>
      <c r="C84" s="55" t="s">
        <v>108</v>
      </c>
      <c r="D84" s="32">
        <f t="shared" si="16"/>
        <v>26407000</v>
      </c>
      <c r="E84" s="30"/>
      <c r="F84" s="25">
        <f t="shared" si="17"/>
        <v>26407000</v>
      </c>
      <c r="G84" s="32">
        <f>3000000+8600000+1000000+6107000+7700000</f>
        <v>26407000</v>
      </c>
      <c r="H84" s="32">
        <f>1400000+4300000+1082142+1437858+23357.42+1714649.98+3000000+31555.91+92107+2668598.4+1161297.6+55871.32+56576.61+554064+400275.99+6463.17+7163914.8+94051.23</f>
        <v>25242783.430000003</v>
      </c>
      <c r="I84" s="46">
        <f>H84/D84*100</f>
        <v>95.59125773469157</v>
      </c>
      <c r="J84" s="52">
        <f t="shared" si="13"/>
        <v>1164216.5699999966</v>
      </c>
      <c r="K84" s="59"/>
      <c r="L84" s="59"/>
      <c r="M84" s="59"/>
      <c r="N84" s="59">
        <v>80000</v>
      </c>
      <c r="O84" s="59">
        <f>-80000</f>
        <v>-80000</v>
      </c>
      <c r="P84" s="59"/>
      <c r="Q84" s="59">
        <v>1460000</v>
      </c>
      <c r="R84" s="59">
        <f>1460000+4300000-1000000+1000000</f>
        <v>5760000</v>
      </c>
      <c r="S84" s="60">
        <f>2000000+24000+1800000+3053500</f>
        <v>6877500</v>
      </c>
      <c r="T84" s="60">
        <f>1000000+1300000-24000-1800000+3053500</f>
        <v>3529500</v>
      </c>
      <c r="U84" s="60">
        <v>1500000</v>
      </c>
      <c r="V84" s="60">
        <v>7280000</v>
      </c>
      <c r="W84" s="59">
        <f t="shared" si="18"/>
        <v>26407000</v>
      </c>
      <c r="X84" s="66">
        <f t="shared" si="15"/>
        <v>0</v>
      </c>
      <c r="Y84" s="60">
        <v>1000000</v>
      </c>
    </row>
    <row r="85" spans="1:24" s="74" customFormat="1" ht="40.5" customHeight="1">
      <c r="A85" s="1"/>
      <c r="B85" s="29"/>
      <c r="C85" s="31" t="s">
        <v>34</v>
      </c>
      <c r="D85" s="32">
        <f t="shared" si="16"/>
        <v>2188000</v>
      </c>
      <c r="E85" s="30"/>
      <c r="F85" s="25">
        <f t="shared" si="17"/>
        <v>2188000</v>
      </c>
      <c r="G85" s="32">
        <f>988000+1200000</f>
        <v>2188000</v>
      </c>
      <c r="H85" s="25">
        <f>286305.66+72060+594.73+601021.9+5516.59+658722</f>
        <v>1624220.88</v>
      </c>
      <c r="I85" s="46">
        <f>H85/D85*100</f>
        <v>74.23312979890311</v>
      </c>
      <c r="J85" s="52">
        <f t="shared" si="13"/>
        <v>563779.1200000001</v>
      </c>
      <c r="K85" s="59"/>
      <c r="L85" s="59">
        <v>400000</v>
      </c>
      <c r="M85" s="59">
        <v>588000</v>
      </c>
      <c r="N85" s="59"/>
      <c r="O85" s="59">
        <f>-28017.71+600000</f>
        <v>571982.29</v>
      </c>
      <c r="P85" s="59">
        <v>65000</v>
      </c>
      <c r="Q85" s="59">
        <f>600000-65000-181682.15</f>
        <v>353317.85</v>
      </c>
      <c r="R85" s="59"/>
      <c r="S85" s="60"/>
      <c r="T85" s="59"/>
      <c r="U85" s="59"/>
      <c r="V85" s="59">
        <f>28017.71+181682.15</f>
        <v>209699.86</v>
      </c>
      <c r="W85" s="59">
        <f t="shared" si="18"/>
        <v>2188000</v>
      </c>
      <c r="X85" s="66">
        <f t="shared" si="15"/>
        <v>0</v>
      </c>
    </row>
    <row r="86" spans="1:24" s="74" customFormat="1" ht="39.75" customHeight="1">
      <c r="A86" s="1"/>
      <c r="B86" s="29"/>
      <c r="C86" s="55" t="s">
        <v>35</v>
      </c>
      <c r="D86" s="32">
        <f t="shared" si="16"/>
        <v>254000</v>
      </c>
      <c r="E86" s="30"/>
      <c r="F86" s="25">
        <f t="shared" si="17"/>
        <v>254000</v>
      </c>
      <c r="G86" s="32">
        <f>314000+940000-1000000</f>
        <v>254000</v>
      </c>
      <c r="H86" s="25">
        <f>72317.85+39619.35+939.55</f>
        <v>112876.75000000001</v>
      </c>
      <c r="I86" s="46">
        <f>H86/D86*100</f>
        <v>44.439665354330714</v>
      </c>
      <c r="J86" s="52">
        <f t="shared" si="13"/>
        <v>141123.25</v>
      </c>
      <c r="K86" s="59"/>
      <c r="L86" s="59">
        <v>314000</v>
      </c>
      <c r="M86" s="59">
        <v>-60000</v>
      </c>
      <c r="N86" s="59">
        <f>940000-940000</f>
        <v>0</v>
      </c>
      <c r="O86" s="59">
        <f>-181682.15</f>
        <v>-181682.15</v>
      </c>
      <c r="P86" s="59"/>
      <c r="Q86" s="59">
        <f>181682.15</f>
        <v>181682.15</v>
      </c>
      <c r="R86" s="59"/>
      <c r="S86" s="60"/>
      <c r="T86" s="59"/>
      <c r="U86" s="59"/>
      <c r="V86" s="59">
        <f>181682.15-181682.15</f>
        <v>0</v>
      </c>
      <c r="W86" s="59">
        <f t="shared" si="18"/>
        <v>254000</v>
      </c>
      <c r="X86" s="66">
        <f t="shared" si="15"/>
        <v>0</v>
      </c>
    </row>
    <row r="87" spans="1:24" s="74" customFormat="1" ht="39.75" customHeight="1">
      <c r="A87" s="1"/>
      <c r="B87" s="29"/>
      <c r="C87" s="55" t="s">
        <v>84</v>
      </c>
      <c r="D87" s="32">
        <f t="shared" si="16"/>
        <v>26868731</v>
      </c>
      <c r="E87" s="30"/>
      <c r="F87" s="25">
        <f t="shared" si="17"/>
        <v>26868731</v>
      </c>
      <c r="G87" s="32">
        <f>16000000+4000000+2050000+4818731</f>
        <v>26868731</v>
      </c>
      <c r="H87" s="25">
        <f>13429+7850000+306023.62+885285.6+1757858.8+137329.67+2000000+3430424.4+44980.76+1526696.4+20069.81+1128035.73+685593.6+10647.49+148666.8+4855.48+1000000+592454.4+7652.35+1437131.2+182-1437313.2+18851.29</f>
        <v>21568855.2</v>
      </c>
      <c r="I87" s="46">
        <f>H87/D87*100</f>
        <v>80.27493073640134</v>
      </c>
      <c r="J87" s="52">
        <f t="shared" si="13"/>
        <v>5299875.800000001</v>
      </c>
      <c r="K87" s="60"/>
      <c r="L87" s="60"/>
      <c r="M87" s="60">
        <f>700000+418000+500000</f>
        <v>1618000</v>
      </c>
      <c r="N87" s="60"/>
      <c r="O87" s="60">
        <v>6400000</v>
      </c>
      <c r="P87" s="60">
        <f>1547800+940000-2487800+170000</f>
        <v>170000</v>
      </c>
      <c r="Q87" s="60">
        <v>900000</v>
      </c>
      <c r="R87" s="60">
        <v>10912000</v>
      </c>
      <c r="S87" s="60">
        <f>1025000</f>
        <v>1025000</v>
      </c>
      <c r="T87" s="60">
        <f>1025000</f>
        <v>1025000</v>
      </c>
      <c r="U87" s="60">
        <v>3949731</v>
      </c>
      <c r="V87" s="60">
        <v>869000</v>
      </c>
      <c r="W87" s="59">
        <f t="shared" si="18"/>
        <v>26868731</v>
      </c>
      <c r="X87" s="66">
        <f t="shared" si="15"/>
        <v>0</v>
      </c>
    </row>
    <row r="88" spans="1:24" s="74" customFormat="1" ht="22.5" customHeight="1">
      <c r="A88" s="1"/>
      <c r="B88" s="29"/>
      <c r="C88" s="31" t="s">
        <v>36</v>
      </c>
      <c r="D88" s="32">
        <f t="shared" si="16"/>
        <v>137000</v>
      </c>
      <c r="E88" s="30"/>
      <c r="F88" s="25">
        <f t="shared" si="17"/>
        <v>137000</v>
      </c>
      <c r="G88" s="32">
        <f>837000-700000</f>
        <v>137000</v>
      </c>
      <c r="H88" s="25"/>
      <c r="I88" s="46"/>
      <c r="J88" s="52">
        <f t="shared" si="13"/>
        <v>137000</v>
      </c>
      <c r="K88" s="59"/>
      <c r="L88" s="59">
        <v>300000</v>
      </c>
      <c r="M88" s="59">
        <f>537000-700000</f>
        <v>-163000</v>
      </c>
      <c r="N88" s="59"/>
      <c r="O88" s="59">
        <f>-137000</f>
        <v>-137000</v>
      </c>
      <c r="P88" s="59"/>
      <c r="Q88" s="59">
        <f>137000</f>
        <v>137000</v>
      </c>
      <c r="R88" s="59"/>
      <c r="S88" s="60"/>
      <c r="T88" s="59"/>
      <c r="U88" s="59"/>
      <c r="V88" s="59">
        <f>137000-137000</f>
        <v>0</v>
      </c>
      <c r="W88" s="59">
        <f t="shared" si="18"/>
        <v>137000</v>
      </c>
      <c r="X88" s="66">
        <f t="shared" si="15"/>
        <v>0</v>
      </c>
    </row>
    <row r="89" spans="1:24" s="74" customFormat="1" ht="38.25" customHeight="1">
      <c r="A89" s="1"/>
      <c r="B89" s="29"/>
      <c r="C89" s="31" t="s">
        <v>3</v>
      </c>
      <c r="D89" s="32">
        <f>F89</f>
        <v>400000</v>
      </c>
      <c r="E89" s="6"/>
      <c r="F89" s="25">
        <f t="shared" si="17"/>
        <v>400000</v>
      </c>
      <c r="G89" s="32">
        <f>900000-500000</f>
        <v>400000</v>
      </c>
      <c r="H89" s="25">
        <f>175429.5+3284.33</f>
        <v>178713.83</v>
      </c>
      <c r="I89" s="25">
        <f aca="true" t="shared" si="19" ref="I89:I95">H89/D89*100</f>
        <v>44.67845749999999</v>
      </c>
      <c r="J89" s="52">
        <f t="shared" si="13"/>
        <v>221286.17</v>
      </c>
      <c r="K89" s="59"/>
      <c r="L89" s="59">
        <v>300000</v>
      </c>
      <c r="M89" s="59">
        <f>600000-500000</f>
        <v>100000</v>
      </c>
      <c r="N89" s="59"/>
      <c r="O89" s="59">
        <f>-192000-128000-80000</f>
        <v>-400000</v>
      </c>
      <c r="P89" s="59">
        <v>128000</v>
      </c>
      <c r="Q89" s="59">
        <f>70000+192000</f>
        <v>262000</v>
      </c>
      <c r="R89" s="59">
        <f>10000-200000</f>
        <v>-190000</v>
      </c>
      <c r="S89" s="60">
        <f>200000</f>
        <v>200000</v>
      </c>
      <c r="T89" s="59"/>
      <c r="U89" s="59"/>
      <c r="V89" s="59">
        <f>192000-192000</f>
        <v>0</v>
      </c>
      <c r="W89" s="59">
        <f t="shared" si="18"/>
        <v>400000</v>
      </c>
      <c r="X89" s="66">
        <f t="shared" si="15"/>
        <v>0</v>
      </c>
    </row>
    <row r="90" spans="1:24" s="74" customFormat="1" ht="40.5" customHeight="1">
      <c r="A90" s="1"/>
      <c r="B90" s="29"/>
      <c r="C90" s="31" t="s">
        <v>4</v>
      </c>
      <c r="D90" s="32">
        <f>F90</f>
        <v>248000</v>
      </c>
      <c r="E90" s="6"/>
      <c r="F90" s="25">
        <f t="shared" si="17"/>
        <v>248000</v>
      </c>
      <c r="G90" s="25">
        <v>248000</v>
      </c>
      <c r="H90" s="25">
        <f>28474.8+238.82</f>
        <v>28713.62</v>
      </c>
      <c r="I90" s="25">
        <f t="shared" si="19"/>
        <v>11.578072580645161</v>
      </c>
      <c r="J90" s="52">
        <f t="shared" si="13"/>
        <v>219286.38</v>
      </c>
      <c r="K90" s="59"/>
      <c r="L90" s="59">
        <v>248000</v>
      </c>
      <c r="M90" s="59"/>
      <c r="N90" s="59"/>
      <c r="O90" s="59">
        <f>-167000-81000</f>
        <v>-248000</v>
      </c>
      <c r="P90" s="59"/>
      <c r="Q90" s="59"/>
      <c r="R90" s="59">
        <v>71000</v>
      </c>
      <c r="S90" s="60">
        <v>10000</v>
      </c>
      <c r="T90" s="59"/>
      <c r="U90" s="59"/>
      <c r="V90" s="59">
        <f>167000</f>
        <v>167000</v>
      </c>
      <c r="W90" s="59">
        <f t="shared" si="18"/>
        <v>248000</v>
      </c>
      <c r="X90" s="66">
        <f t="shared" si="15"/>
        <v>0</v>
      </c>
    </row>
    <row r="91" spans="1:24" s="74" customFormat="1" ht="40.5" customHeight="1">
      <c r="A91" s="1"/>
      <c r="B91" s="29"/>
      <c r="C91" s="55" t="s">
        <v>85</v>
      </c>
      <c r="D91" s="32">
        <f aca="true" t="shared" si="20" ref="D91:D99">F91</f>
        <v>10545999.2</v>
      </c>
      <c r="E91" s="6"/>
      <c r="F91" s="25">
        <f t="shared" si="17"/>
        <v>10545999.2</v>
      </c>
      <c r="G91" s="32">
        <f>13000000-2454000.8</f>
        <v>10545999.2</v>
      </c>
      <c r="H91" s="25">
        <f>5265.6+5180849.77</f>
        <v>5186115.369999999</v>
      </c>
      <c r="I91" s="25">
        <f t="shared" si="19"/>
        <v>49.17614036989496</v>
      </c>
      <c r="J91" s="52">
        <f t="shared" si="13"/>
        <v>5359883.83</v>
      </c>
      <c r="K91" s="60"/>
      <c r="L91" s="60"/>
      <c r="M91" s="60"/>
      <c r="N91" s="60">
        <v>20000</v>
      </c>
      <c r="O91" s="60"/>
      <c r="P91" s="60">
        <f>6490000-2065000</f>
        <v>4425000</v>
      </c>
      <c r="Q91" s="60">
        <f>65000-2067000-59854</f>
        <v>-2061854</v>
      </c>
      <c r="R91" s="60">
        <v>815400</v>
      </c>
      <c r="S91" s="60">
        <f>549239.76-1800000</f>
        <v>-1250760.24</v>
      </c>
      <c r="T91" s="60">
        <f>5037999.2+1800000</f>
        <v>6837999.2</v>
      </c>
      <c r="U91" s="60">
        <v>1338861.78</v>
      </c>
      <c r="V91" s="60">
        <v>421352.46</v>
      </c>
      <c r="W91" s="59">
        <f t="shared" si="18"/>
        <v>10545999.200000001</v>
      </c>
      <c r="X91" s="66">
        <f t="shared" si="15"/>
        <v>0</v>
      </c>
    </row>
    <row r="92" spans="1:24" s="74" customFormat="1" ht="40.5" customHeight="1">
      <c r="A92" s="1"/>
      <c r="B92" s="29"/>
      <c r="C92" s="55" t="s">
        <v>86</v>
      </c>
      <c r="D92" s="32">
        <f t="shared" si="20"/>
        <v>3585100</v>
      </c>
      <c r="E92" s="6"/>
      <c r="F92" s="25">
        <f t="shared" si="17"/>
        <v>3585100</v>
      </c>
      <c r="G92" s="32">
        <f>400000+3185100</f>
        <v>3585100</v>
      </c>
      <c r="H92" s="25">
        <f>142252.63+432941+1478765</f>
        <v>2053958.63</v>
      </c>
      <c r="I92" s="46">
        <f t="shared" si="19"/>
        <v>57.29152966444451</v>
      </c>
      <c r="J92" s="52">
        <f t="shared" si="13"/>
        <v>1531141.37</v>
      </c>
      <c r="K92" s="59"/>
      <c r="L92" s="59"/>
      <c r="M92" s="59"/>
      <c r="N92" s="59"/>
      <c r="O92" s="59">
        <f>120000-747.37+23000</f>
        <v>142252.63</v>
      </c>
      <c r="P92" s="59">
        <f>140000-23000+2515950</f>
        <v>2632950</v>
      </c>
      <c r="Q92" s="59">
        <v>-760000</v>
      </c>
      <c r="R92" s="59">
        <v>-1400000</v>
      </c>
      <c r="S92" s="60">
        <v>2069150</v>
      </c>
      <c r="T92" s="59">
        <f>900000-198000</f>
        <v>702000</v>
      </c>
      <c r="U92" s="59">
        <f>198000</f>
        <v>198000</v>
      </c>
      <c r="V92" s="59">
        <f>747.37</f>
        <v>747.37</v>
      </c>
      <c r="W92" s="59">
        <f t="shared" si="18"/>
        <v>3585100</v>
      </c>
      <c r="X92" s="66">
        <f t="shared" si="15"/>
        <v>0</v>
      </c>
    </row>
    <row r="93" spans="1:24" s="74" customFormat="1" ht="40.5" customHeight="1">
      <c r="A93" s="1"/>
      <c r="B93" s="29"/>
      <c r="C93" s="55" t="s">
        <v>87</v>
      </c>
      <c r="D93" s="32">
        <f t="shared" si="20"/>
        <v>300000</v>
      </c>
      <c r="E93" s="6"/>
      <c r="F93" s="25">
        <f t="shared" si="17"/>
        <v>300000</v>
      </c>
      <c r="G93" s="32">
        <v>300000</v>
      </c>
      <c r="H93" s="25">
        <f>81000+29133+189000</f>
        <v>299133</v>
      </c>
      <c r="I93" s="46">
        <f t="shared" si="19"/>
        <v>99.711</v>
      </c>
      <c r="J93" s="52">
        <f t="shared" si="13"/>
        <v>867</v>
      </c>
      <c r="K93" s="59"/>
      <c r="L93" s="59"/>
      <c r="M93" s="59"/>
      <c r="N93" s="59"/>
      <c r="O93" s="59">
        <v>111000</v>
      </c>
      <c r="P93" s="59"/>
      <c r="Q93" s="59">
        <f>100000-100000+100000</f>
        <v>100000</v>
      </c>
      <c r="R93" s="59">
        <f>100000-11000</f>
        <v>89000</v>
      </c>
      <c r="S93" s="60">
        <f>100000-100000</f>
        <v>0</v>
      </c>
      <c r="T93" s="59"/>
      <c r="U93" s="59"/>
      <c r="V93" s="59"/>
      <c r="W93" s="59">
        <f t="shared" si="18"/>
        <v>300000</v>
      </c>
      <c r="X93" s="66">
        <f t="shared" si="15"/>
        <v>0</v>
      </c>
    </row>
    <row r="94" spans="1:24" s="74" customFormat="1" ht="40.5" customHeight="1">
      <c r="A94" s="1"/>
      <c r="B94" s="29"/>
      <c r="C94" s="55" t="s">
        <v>88</v>
      </c>
      <c r="D94" s="32">
        <f t="shared" si="20"/>
        <v>300000</v>
      </c>
      <c r="E94" s="6"/>
      <c r="F94" s="25">
        <f t="shared" si="17"/>
        <v>300000</v>
      </c>
      <c r="G94" s="32">
        <v>300000</v>
      </c>
      <c r="H94" s="25">
        <f>81000+28897</f>
        <v>109897</v>
      </c>
      <c r="I94" s="46">
        <f t="shared" si="19"/>
        <v>36.632333333333335</v>
      </c>
      <c r="J94" s="52">
        <f t="shared" si="13"/>
        <v>190103</v>
      </c>
      <c r="K94" s="59"/>
      <c r="L94" s="59"/>
      <c r="M94" s="59"/>
      <c r="N94" s="59"/>
      <c r="O94" s="59">
        <v>110000</v>
      </c>
      <c r="P94" s="59"/>
      <c r="Q94" s="59"/>
      <c r="R94" s="59">
        <f>100000-100000</f>
        <v>0</v>
      </c>
      <c r="S94" s="60">
        <f>100000-10000</f>
        <v>90000</v>
      </c>
      <c r="T94" s="59">
        <v>100000</v>
      </c>
      <c r="U94" s="59"/>
      <c r="V94" s="59"/>
      <c r="W94" s="59">
        <f t="shared" si="18"/>
        <v>300000</v>
      </c>
      <c r="X94" s="66">
        <f t="shared" si="15"/>
        <v>0</v>
      </c>
    </row>
    <row r="95" spans="1:24" s="74" customFormat="1" ht="40.5" customHeight="1">
      <c r="A95" s="1"/>
      <c r="B95" s="29"/>
      <c r="C95" s="55" t="s">
        <v>89</v>
      </c>
      <c r="D95" s="32">
        <f t="shared" si="20"/>
        <v>538000</v>
      </c>
      <c r="E95" s="6"/>
      <c r="F95" s="25">
        <f t="shared" si="17"/>
        <v>538000</v>
      </c>
      <c r="G95" s="32">
        <v>538000</v>
      </c>
      <c r="H95" s="25">
        <f>139785.59+164838.36+4545.63+134831.92+1999.26</f>
        <v>446000.76</v>
      </c>
      <c r="I95" s="46">
        <f t="shared" si="19"/>
        <v>82.89976951672863</v>
      </c>
      <c r="J95" s="52">
        <f t="shared" si="13"/>
        <v>91999.23999999999</v>
      </c>
      <c r="K95" s="59"/>
      <c r="L95" s="59"/>
      <c r="M95" s="59"/>
      <c r="N95" s="59"/>
      <c r="O95" s="59"/>
      <c r="P95" s="59">
        <v>160000</v>
      </c>
      <c r="Q95" s="59">
        <v>189000</v>
      </c>
      <c r="R95" s="59">
        <v>-189000</v>
      </c>
      <c r="S95" s="60">
        <f>180000</f>
        <v>180000</v>
      </c>
      <c r="T95" s="59">
        <f>198000</f>
        <v>198000</v>
      </c>
      <c r="U95" s="59">
        <f>378000-180000-198000</f>
        <v>0</v>
      </c>
      <c r="V95" s="59"/>
      <c r="W95" s="59">
        <f t="shared" si="18"/>
        <v>538000</v>
      </c>
      <c r="X95" s="66">
        <f t="shared" si="15"/>
        <v>0</v>
      </c>
    </row>
    <row r="96" spans="1:24" s="74" customFormat="1" ht="21" customHeight="1">
      <c r="A96" s="1"/>
      <c r="B96" s="29"/>
      <c r="C96" s="55" t="s">
        <v>90</v>
      </c>
      <c r="D96" s="32">
        <f t="shared" si="20"/>
        <v>5000</v>
      </c>
      <c r="E96" s="6"/>
      <c r="F96" s="25">
        <f t="shared" si="17"/>
        <v>5000</v>
      </c>
      <c r="G96" s="32">
        <v>5000</v>
      </c>
      <c r="H96" s="25"/>
      <c r="I96" s="46"/>
      <c r="J96" s="52">
        <f t="shared" si="13"/>
        <v>5000</v>
      </c>
      <c r="K96" s="59"/>
      <c r="L96" s="59"/>
      <c r="M96" s="59"/>
      <c r="N96" s="59"/>
      <c r="O96" s="59">
        <v>5000</v>
      </c>
      <c r="P96" s="59"/>
      <c r="Q96" s="59"/>
      <c r="R96" s="59"/>
      <c r="S96" s="60"/>
      <c r="T96" s="59"/>
      <c r="U96" s="59"/>
      <c r="V96" s="59"/>
      <c r="W96" s="59">
        <f t="shared" si="18"/>
        <v>5000</v>
      </c>
      <c r="X96" s="66">
        <f t="shared" si="15"/>
        <v>0</v>
      </c>
    </row>
    <row r="97" spans="1:24" s="74" customFormat="1" ht="26.25" customHeight="1">
      <c r="A97" s="1"/>
      <c r="B97" s="29"/>
      <c r="C97" s="55" t="s">
        <v>91</v>
      </c>
      <c r="D97" s="32">
        <f t="shared" si="20"/>
        <v>20640</v>
      </c>
      <c r="E97" s="6"/>
      <c r="F97" s="25">
        <f t="shared" si="17"/>
        <v>20640</v>
      </c>
      <c r="G97" s="32">
        <v>20640</v>
      </c>
      <c r="H97" s="25"/>
      <c r="I97" s="46"/>
      <c r="J97" s="52">
        <f t="shared" si="13"/>
        <v>20640</v>
      </c>
      <c r="K97" s="59"/>
      <c r="L97" s="59"/>
      <c r="M97" s="59"/>
      <c r="N97" s="59"/>
      <c r="O97" s="59"/>
      <c r="P97" s="59"/>
      <c r="Q97" s="59"/>
      <c r="R97" s="59"/>
      <c r="S97" s="60">
        <v>20640</v>
      </c>
      <c r="T97" s="59"/>
      <c r="U97" s="59"/>
      <c r="V97" s="59"/>
      <c r="W97" s="59">
        <f t="shared" si="18"/>
        <v>20640</v>
      </c>
      <c r="X97" s="66">
        <f t="shared" si="15"/>
        <v>0</v>
      </c>
    </row>
    <row r="98" spans="1:24" s="74" customFormat="1" ht="22.5" customHeight="1">
      <c r="A98" s="1"/>
      <c r="B98" s="29"/>
      <c r="C98" s="56" t="s">
        <v>92</v>
      </c>
      <c r="D98" s="32">
        <f t="shared" si="20"/>
        <v>250000</v>
      </c>
      <c r="E98" s="6"/>
      <c r="F98" s="25">
        <f t="shared" si="17"/>
        <v>250000</v>
      </c>
      <c r="G98" s="32">
        <v>250000</v>
      </c>
      <c r="H98" s="25">
        <f>40894.59</f>
        <v>40894.59</v>
      </c>
      <c r="I98" s="46">
        <f>H98/D98*100</f>
        <v>16.357836</v>
      </c>
      <c r="J98" s="52">
        <f t="shared" si="13"/>
        <v>209105.41</v>
      </c>
      <c r="K98" s="59"/>
      <c r="L98" s="59"/>
      <c r="M98" s="59"/>
      <c r="N98" s="59"/>
      <c r="O98" s="59"/>
      <c r="P98" s="59"/>
      <c r="Q98" s="59"/>
      <c r="R98" s="59"/>
      <c r="S98" s="60">
        <v>250000</v>
      </c>
      <c r="T98" s="59"/>
      <c r="U98" s="59"/>
      <c r="V98" s="59"/>
      <c r="W98" s="59">
        <f t="shared" si="18"/>
        <v>250000</v>
      </c>
      <c r="X98" s="66">
        <f t="shared" si="15"/>
        <v>0</v>
      </c>
    </row>
    <row r="99" spans="1:24" s="74" customFormat="1" ht="22.5" customHeight="1">
      <c r="A99" s="1"/>
      <c r="B99" s="29"/>
      <c r="C99" s="55" t="s">
        <v>93</v>
      </c>
      <c r="D99" s="32">
        <f t="shared" si="20"/>
        <v>50000</v>
      </c>
      <c r="E99" s="6"/>
      <c r="F99" s="25">
        <f t="shared" si="17"/>
        <v>50000</v>
      </c>
      <c r="G99" s="32">
        <f>50000+2000000-2000000</f>
        <v>50000</v>
      </c>
      <c r="H99" s="25"/>
      <c r="I99" s="46"/>
      <c r="J99" s="52">
        <f t="shared" si="13"/>
        <v>50000</v>
      </c>
      <c r="K99" s="59"/>
      <c r="L99" s="59"/>
      <c r="M99" s="59"/>
      <c r="N99" s="59"/>
      <c r="O99" s="59"/>
      <c r="P99" s="59"/>
      <c r="Q99" s="59"/>
      <c r="R99" s="59"/>
      <c r="S99" s="60">
        <v>50000</v>
      </c>
      <c r="T99" s="59"/>
      <c r="U99" s="60">
        <f>1081074.46-1131000</f>
        <v>-49925.54000000004</v>
      </c>
      <c r="V99" s="60">
        <f>918925.54-869000</f>
        <v>49925.54000000004</v>
      </c>
      <c r="W99" s="59">
        <f t="shared" si="18"/>
        <v>50000</v>
      </c>
      <c r="X99" s="66">
        <f t="shared" si="15"/>
        <v>0</v>
      </c>
    </row>
    <row r="100" spans="1:24" ht="18.75">
      <c r="A100" s="33"/>
      <c r="B100" s="18"/>
      <c r="C100" s="34" t="s">
        <v>9</v>
      </c>
      <c r="D100" s="20">
        <f>D8+D54</f>
        <v>308350624.04</v>
      </c>
      <c r="E100" s="20">
        <f>E8+E54</f>
        <v>48217294.690000005</v>
      </c>
      <c r="F100" s="20">
        <f>F8+F54</f>
        <v>260133329.35</v>
      </c>
      <c r="G100" s="20">
        <f>G8+G54</f>
        <v>260133329.35</v>
      </c>
      <c r="H100" s="20">
        <f>H8+H54</f>
        <v>244831123.63000005</v>
      </c>
      <c r="I100" s="44">
        <f>H100/D100*100</f>
        <v>79.4002361409977</v>
      </c>
      <c r="J100" s="52">
        <f t="shared" si="13"/>
        <v>63519500.40999997</v>
      </c>
      <c r="K100" s="20">
        <f aca="true" t="shared" si="21" ref="K100:V100">K8+K26+K55</f>
        <v>112816</v>
      </c>
      <c r="L100" s="20">
        <f t="shared" si="21"/>
        <v>3716000</v>
      </c>
      <c r="M100" s="20">
        <f t="shared" si="21"/>
        <v>13054000</v>
      </c>
      <c r="N100" s="20">
        <f t="shared" si="21"/>
        <v>23577301.990000002</v>
      </c>
      <c r="O100" s="20">
        <f t="shared" si="21"/>
        <v>25112943.939999998</v>
      </c>
      <c r="P100" s="20">
        <f t="shared" si="21"/>
        <v>23049655.380000003</v>
      </c>
      <c r="Q100" s="20">
        <f t="shared" si="21"/>
        <v>31654418.01</v>
      </c>
      <c r="R100" s="20">
        <f t="shared" si="21"/>
        <v>46153908.06</v>
      </c>
      <c r="S100" s="20">
        <f t="shared" si="21"/>
        <v>38841541.64</v>
      </c>
      <c r="T100" s="20">
        <f t="shared" si="21"/>
        <v>35148965.41</v>
      </c>
      <c r="U100" s="20">
        <f t="shared" si="21"/>
        <v>34110688.78</v>
      </c>
      <c r="V100" s="20">
        <f t="shared" si="21"/>
        <v>33818384.83</v>
      </c>
      <c r="W100" s="20">
        <f>W8+W26+W55</f>
        <v>308350624.03999996</v>
      </c>
      <c r="X100" s="66">
        <f t="shared" si="15"/>
        <v>0</v>
      </c>
    </row>
    <row r="101" spans="1:24" ht="18.75" hidden="1">
      <c r="A101" s="38" t="s">
        <v>37</v>
      </c>
      <c r="B101" s="39"/>
      <c r="C101" s="40"/>
      <c r="D101" s="41"/>
      <c r="E101" s="41"/>
      <c r="F101" s="41"/>
      <c r="G101" s="41"/>
      <c r="J101" s="52">
        <f t="shared" si="13"/>
        <v>0</v>
      </c>
      <c r="X101" s="66">
        <f t="shared" si="15"/>
        <v>0</v>
      </c>
    </row>
    <row r="102" spans="1:24" ht="18.75" hidden="1">
      <c r="A102" s="2"/>
      <c r="B102" s="35"/>
      <c r="C102" s="36"/>
      <c r="D102" s="3"/>
      <c r="E102" s="35"/>
      <c r="F102" s="35"/>
      <c r="J102" s="52">
        <f t="shared" si="13"/>
        <v>0</v>
      </c>
      <c r="X102" s="66">
        <f t="shared" si="15"/>
        <v>0</v>
      </c>
    </row>
  </sheetData>
  <sheetProtection/>
  <mergeCells count="25">
    <mergeCell ref="M4:M5"/>
    <mergeCell ref="A53:I53"/>
    <mergeCell ref="A1:H1"/>
    <mergeCell ref="A2:H2"/>
    <mergeCell ref="H4:H5"/>
    <mergeCell ref="A4:A5"/>
    <mergeCell ref="C4:C5"/>
    <mergeCell ref="D4:D5"/>
    <mergeCell ref="E4:E5"/>
    <mergeCell ref="F4:F5"/>
    <mergeCell ref="A7:I7"/>
    <mergeCell ref="L4:L5"/>
    <mergeCell ref="K4:K5"/>
    <mergeCell ref="J4:J5"/>
    <mergeCell ref="I4:I5"/>
    <mergeCell ref="U4:U5"/>
    <mergeCell ref="V4:V5"/>
    <mergeCell ref="W4:W5"/>
    <mergeCell ref="N4:N5"/>
    <mergeCell ref="O4:O5"/>
    <mergeCell ref="P4:P5"/>
    <mergeCell ref="Q4:Q5"/>
    <mergeCell ref="R4:R5"/>
    <mergeCell ref="S4:S5"/>
    <mergeCell ref="T4:T5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2016-12-15T14:34:45Z</dcterms:modified>
  <cp:category/>
  <cp:version/>
  <cp:contentType/>
  <cp:contentStatus/>
</cp:coreProperties>
</file>